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6735" activeTab="2"/>
  </bookViews>
  <sheets>
    <sheet name="2020" sheetId="1" r:id="rId1"/>
    <sheet name="2021" sheetId="2" r:id="rId2"/>
    <sheet name="2022" sheetId="3" r:id="rId3"/>
  </sheets>
  <definedNames>
    <definedName name="_xlnm.Print_Area" localSheetId="0">'2020'!$A$2:$M$38</definedName>
    <definedName name="_xlnm.Print_Area" localSheetId="1">'2021'!$A$1:$N$40</definedName>
    <definedName name="_xlnm.Print_Area" localSheetId="2">'2022'!$A$1:$N$40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/>
  <c r="E13" l="1"/>
  <c r="E5"/>
  <c r="E4"/>
  <c r="D10" l="1"/>
  <c r="D11"/>
  <c r="C25"/>
  <c r="C15"/>
  <c r="C24"/>
  <c r="C26" s="1"/>
  <c r="C9"/>
  <c r="C11"/>
  <c r="C19"/>
  <c r="C14"/>
  <c r="C13" s="1"/>
  <c r="C6"/>
  <c r="C7"/>
  <c r="C5"/>
  <c r="C4"/>
  <c r="D13" l="1"/>
  <c r="D19"/>
  <c r="D7"/>
  <c r="B5"/>
  <c r="B4"/>
  <c r="D5"/>
  <c r="D4"/>
  <c r="D9"/>
  <c r="M9" i="2" l="1"/>
  <c r="M25"/>
  <c r="B9" i="3"/>
  <c r="N9" s="1"/>
  <c r="B25"/>
  <c r="K25" i="1"/>
  <c r="B22" i="3"/>
  <c r="B24"/>
  <c r="B7"/>
  <c r="N7" s="1"/>
  <c r="N4"/>
  <c r="M24"/>
  <c r="M27" s="1"/>
  <c r="L24"/>
  <c r="L27" s="1"/>
  <c r="F24"/>
  <c r="F26" s="1"/>
  <c r="F31" s="1"/>
  <c r="E24"/>
  <c r="E26" s="1"/>
  <c r="E31" s="1"/>
  <c r="N23"/>
  <c r="N21"/>
  <c r="N20"/>
  <c r="K24"/>
  <c r="J24"/>
  <c r="D24"/>
  <c r="N19"/>
  <c r="N18"/>
  <c r="I24"/>
  <c r="G24"/>
  <c r="N17"/>
  <c r="N16"/>
  <c r="N14"/>
  <c r="N12"/>
  <c r="M11"/>
  <c r="M15" s="1"/>
  <c r="M30" s="1"/>
  <c r="L11"/>
  <c r="L15" s="1"/>
  <c r="L30" s="1"/>
  <c r="K11"/>
  <c r="K15" s="1"/>
  <c r="K30" s="1"/>
  <c r="J11"/>
  <c r="J15" s="1"/>
  <c r="J30" s="1"/>
  <c r="N10"/>
  <c r="N8"/>
  <c r="N6"/>
  <c r="N5"/>
  <c r="I11"/>
  <c r="I15" s="1"/>
  <c r="I30" s="1"/>
  <c r="H11"/>
  <c r="H15" s="1"/>
  <c r="H30" s="1"/>
  <c r="G11"/>
  <c r="G15" s="1"/>
  <c r="G30" s="1"/>
  <c r="F11"/>
  <c r="F15" s="1"/>
  <c r="F30" s="1"/>
  <c r="E11"/>
  <c r="D15"/>
  <c r="D30" s="1"/>
  <c r="C30"/>
  <c r="N29" i="2"/>
  <c r="N27"/>
  <c r="H25"/>
  <c r="M18"/>
  <c r="M20"/>
  <c r="M19"/>
  <c r="M22"/>
  <c r="M13"/>
  <c r="M14"/>
  <c r="M6"/>
  <c r="M7"/>
  <c r="M5"/>
  <c r="M4"/>
  <c r="E27" i="3" l="1"/>
  <c r="B26"/>
  <c r="B31" s="1"/>
  <c r="N22"/>
  <c r="I27"/>
  <c r="I26"/>
  <c r="I31" s="1"/>
  <c r="E15"/>
  <c r="E30" s="1"/>
  <c r="H27"/>
  <c r="H26"/>
  <c r="H31" s="1"/>
  <c r="D27"/>
  <c r="D26"/>
  <c r="D31" s="1"/>
  <c r="J27"/>
  <c r="J26"/>
  <c r="J31" s="1"/>
  <c r="G27"/>
  <c r="G26"/>
  <c r="G31" s="1"/>
  <c r="K27"/>
  <c r="K26"/>
  <c r="K31" s="1"/>
  <c r="N25"/>
  <c r="F27"/>
  <c r="B11"/>
  <c r="N13"/>
  <c r="L26"/>
  <c r="L31" s="1"/>
  <c r="M26"/>
  <c r="M31" s="1"/>
  <c r="L9" i="2"/>
  <c r="K25"/>
  <c r="C26"/>
  <c r="L18"/>
  <c r="L20"/>
  <c r="L19"/>
  <c r="L13"/>
  <c r="L7"/>
  <c r="L5"/>
  <c r="L4"/>
  <c r="K20"/>
  <c r="K18"/>
  <c r="K19"/>
  <c r="J15"/>
  <c r="K13"/>
  <c r="K6"/>
  <c r="K7"/>
  <c r="K5"/>
  <c r="K4"/>
  <c r="B27" i="3" l="1"/>
  <c r="B15"/>
  <c r="N11"/>
  <c r="C27"/>
  <c r="N24"/>
  <c r="N27" s="1"/>
  <c r="J19" i="2"/>
  <c r="J9"/>
  <c r="J7"/>
  <c r="J5"/>
  <c r="J4"/>
  <c r="J25"/>
  <c r="J20"/>
  <c r="J22"/>
  <c r="J13"/>
  <c r="J6"/>
  <c r="I25"/>
  <c r="I9"/>
  <c r="I18"/>
  <c r="I22"/>
  <c r="I13"/>
  <c r="I6"/>
  <c r="I7"/>
  <c r="I5"/>
  <c r="I10"/>
  <c r="I4"/>
  <c r="C31" i="3" l="1"/>
  <c r="N31" s="1"/>
  <c r="N26"/>
  <c r="N15"/>
  <c r="B30"/>
  <c r="H9" i="2"/>
  <c r="C25"/>
  <c r="C9"/>
  <c r="E13"/>
  <c r="H18"/>
  <c r="H19"/>
  <c r="H22"/>
  <c r="H13"/>
  <c r="H6"/>
  <c r="H7"/>
  <c r="H5"/>
  <c r="H4"/>
  <c r="B32" i="3" l="1"/>
  <c r="N30"/>
  <c r="G27" i="2"/>
  <c r="G18"/>
  <c r="G20"/>
  <c r="G19"/>
  <c r="G22"/>
  <c r="G9"/>
  <c r="G6"/>
  <c r="G7"/>
  <c r="G5"/>
  <c r="G10"/>
  <c r="G4"/>
  <c r="C29" i="3" l="1"/>
  <c r="F5" i="2"/>
  <c r="F11"/>
  <c r="F7"/>
  <c r="F4"/>
  <c r="F13"/>
  <c r="F6"/>
  <c r="F9"/>
  <c r="C32" i="3" l="1"/>
  <c r="E15" i="2"/>
  <c r="D29" i="3" l="1"/>
  <c r="E5" i="2"/>
  <c r="E4"/>
  <c r="E6"/>
  <c r="E7"/>
  <c r="E9"/>
  <c r="D32" i="3" l="1"/>
  <c r="D22" i="2"/>
  <c r="D19"/>
  <c r="D9"/>
  <c r="D4"/>
  <c r="D18"/>
  <c r="C13"/>
  <c r="C18"/>
  <c r="C19"/>
  <c r="C22"/>
  <c r="C6"/>
  <c r="C7"/>
  <c r="C5"/>
  <c r="C10"/>
  <c r="C4"/>
  <c r="D13"/>
  <c r="D14" s="1"/>
  <c r="D10"/>
  <c r="D7"/>
  <c r="D6"/>
  <c r="D5"/>
  <c r="D11"/>
  <c r="D15" s="1"/>
  <c r="E29" i="3" l="1"/>
  <c r="M29" i="1"/>
  <c r="E32" i="3" l="1"/>
  <c r="M6" i="1"/>
  <c r="B26" i="2"/>
  <c r="B4"/>
  <c r="I24"/>
  <c r="I26" s="1"/>
  <c r="I31" s="1"/>
  <c r="F24"/>
  <c r="F27" s="1"/>
  <c r="E24"/>
  <c r="E27" s="1"/>
  <c r="D24"/>
  <c r="D27" s="1"/>
  <c r="C24"/>
  <c r="C31" s="1"/>
  <c r="B24"/>
  <c r="N23"/>
  <c r="N22"/>
  <c r="N21"/>
  <c r="N20"/>
  <c r="N19"/>
  <c r="M24"/>
  <c r="L24"/>
  <c r="K24"/>
  <c r="J24"/>
  <c r="H24"/>
  <c r="N18"/>
  <c r="N17"/>
  <c r="N16"/>
  <c r="F14"/>
  <c r="C14"/>
  <c r="B14"/>
  <c r="G14"/>
  <c r="E14"/>
  <c r="N13"/>
  <c r="I11"/>
  <c r="I15" s="1"/>
  <c r="I30" s="1"/>
  <c r="G11"/>
  <c r="N10"/>
  <c r="B11"/>
  <c r="N8"/>
  <c r="H11"/>
  <c r="H15" s="1"/>
  <c r="H30" s="1"/>
  <c r="N7"/>
  <c r="N6"/>
  <c r="N5"/>
  <c r="L11"/>
  <c r="L15" s="1"/>
  <c r="L30" s="1"/>
  <c r="K11"/>
  <c r="K15" s="1"/>
  <c r="K30" s="1"/>
  <c r="J11"/>
  <c r="J30" s="1"/>
  <c r="F15"/>
  <c r="F30" s="1"/>
  <c r="E11"/>
  <c r="D30"/>
  <c r="N4"/>
  <c r="D7" i="1"/>
  <c r="M18"/>
  <c r="M20"/>
  <c r="M19"/>
  <c r="M22"/>
  <c r="M7"/>
  <c r="M5"/>
  <c r="M4"/>
  <c r="F29" i="3" l="1"/>
  <c r="G15" i="2"/>
  <c r="G30" s="1"/>
  <c r="M11" i="1"/>
  <c r="E26" i="2"/>
  <c r="E31" s="1"/>
  <c r="N14"/>
  <c r="N25"/>
  <c r="M27"/>
  <c r="M26"/>
  <c r="M31" s="1"/>
  <c r="N31" s="1"/>
  <c r="H27"/>
  <c r="H26"/>
  <c r="H31" s="1"/>
  <c r="J27"/>
  <c r="J26"/>
  <c r="J31" s="1"/>
  <c r="E30"/>
  <c r="B15"/>
  <c r="K26"/>
  <c r="K31" s="1"/>
  <c r="K27"/>
  <c r="L27"/>
  <c r="L26"/>
  <c r="L31" s="1"/>
  <c r="M11"/>
  <c r="M15" s="1"/>
  <c r="M30" s="1"/>
  <c r="N30" s="1"/>
  <c r="D26"/>
  <c r="D31" s="1"/>
  <c r="C27"/>
  <c r="I27"/>
  <c r="C11"/>
  <c r="F26"/>
  <c r="F31" s="1"/>
  <c r="N12"/>
  <c r="N9"/>
  <c r="G24"/>
  <c r="K18" i="1"/>
  <c r="L18"/>
  <c r="L20"/>
  <c r="L22"/>
  <c r="L13"/>
  <c r="L9"/>
  <c r="L7"/>
  <c r="L6"/>
  <c r="L5"/>
  <c r="L4"/>
  <c r="K20"/>
  <c r="K19"/>
  <c r="K22"/>
  <c r="K13"/>
  <c r="K12"/>
  <c r="K10"/>
  <c r="K7"/>
  <c r="K6"/>
  <c r="K5"/>
  <c r="K4"/>
  <c r="F32" i="3" l="1"/>
  <c r="C15" i="2"/>
  <c r="C30" s="1"/>
  <c r="B31"/>
  <c r="B27"/>
  <c r="G26"/>
  <c r="G31" s="1"/>
  <c r="B30"/>
  <c r="N15"/>
  <c r="N11"/>
  <c r="N24"/>
  <c r="J22" i="1"/>
  <c r="J18"/>
  <c r="J20"/>
  <c r="J19"/>
  <c r="J13"/>
  <c r="J7"/>
  <c r="J5"/>
  <c r="J4"/>
  <c r="G29" i="3" l="1"/>
  <c r="B32" i="2"/>
  <c r="C29" s="1"/>
  <c r="C32" s="1"/>
  <c r="D29" s="1"/>
  <c r="D32" s="1"/>
  <c r="N26"/>
  <c r="G23" i="1"/>
  <c r="G19"/>
  <c r="G22"/>
  <c r="G18"/>
  <c r="H22"/>
  <c r="H23"/>
  <c r="H20"/>
  <c r="H19"/>
  <c r="H18"/>
  <c r="G13"/>
  <c r="H14"/>
  <c r="H9"/>
  <c r="H7"/>
  <c r="G32" i="3" l="1"/>
  <c r="H29" s="1"/>
  <c r="H32" s="1"/>
  <c r="I29" s="1"/>
  <c r="I32" s="1"/>
  <c r="J29" s="1"/>
  <c r="J32" s="1"/>
  <c r="K29" s="1"/>
  <c r="K32" s="1"/>
  <c r="L29" s="1"/>
  <c r="L32" s="1"/>
  <c r="M29" s="1"/>
  <c r="M32" s="1"/>
  <c r="E29" i="2"/>
  <c r="E32" s="1"/>
  <c r="F29" s="1"/>
  <c r="F32" s="1"/>
  <c r="G29" s="1"/>
  <c r="G32" s="1"/>
  <c r="H29" s="1"/>
  <c r="H32" s="1"/>
  <c r="I29" s="1"/>
  <c r="I32" s="1"/>
  <c r="J29" s="1"/>
  <c r="J32" s="1"/>
  <c r="K29" s="1"/>
  <c r="K32" s="1"/>
  <c r="L29" s="1"/>
  <c r="L32" s="1"/>
  <c r="M29" s="1"/>
  <c r="M32" s="1"/>
  <c r="C4" i="1"/>
  <c r="D4"/>
  <c r="D11" s="1"/>
  <c r="D15" s="1"/>
  <c r="D30" s="1"/>
  <c r="E4"/>
  <c r="E11" s="1"/>
  <c r="E15" s="1"/>
  <c r="E30" s="1"/>
  <c r="F4"/>
  <c r="G4"/>
  <c r="B5"/>
  <c r="C5"/>
  <c r="D5"/>
  <c r="E5"/>
  <c r="F5"/>
  <c r="G5"/>
  <c r="B7"/>
  <c r="F7"/>
  <c r="G7"/>
  <c r="B9"/>
  <c r="C11"/>
  <c r="H11"/>
  <c r="H15" s="1"/>
  <c r="I11"/>
  <c r="J11"/>
  <c r="J15" s="1"/>
  <c r="J30" s="1"/>
  <c r="K11"/>
  <c r="L11"/>
  <c r="C13"/>
  <c r="D13"/>
  <c r="D14" s="1"/>
  <c r="E13"/>
  <c r="E14" s="1"/>
  <c r="B14"/>
  <c r="C14"/>
  <c r="F14"/>
  <c r="G14"/>
  <c r="M15"/>
  <c r="M30" s="1"/>
  <c r="F27"/>
  <c r="D25"/>
  <c r="C25"/>
  <c r="M24"/>
  <c r="M27" s="1"/>
  <c r="L24"/>
  <c r="L27" s="1"/>
  <c r="K24"/>
  <c r="K26" s="1"/>
  <c r="K31" s="1"/>
  <c r="J24"/>
  <c r="J26" s="1"/>
  <c r="J31" s="1"/>
  <c r="I24"/>
  <c r="I27" s="1"/>
  <c r="H24"/>
  <c r="H27" s="1"/>
  <c r="G24"/>
  <c r="G27" s="1"/>
  <c r="F24"/>
  <c r="F26" s="1"/>
  <c r="F31" s="1"/>
  <c r="E24"/>
  <c r="E27" s="1"/>
  <c r="D24"/>
  <c r="D27" s="1"/>
  <c r="C24"/>
  <c r="B24"/>
  <c r="B26" s="1"/>
  <c r="N32" i="2" l="1"/>
  <c r="N29" i="3"/>
  <c r="M35"/>
  <c r="N32"/>
  <c r="C26" i="1"/>
  <c r="C31" s="1"/>
  <c r="G11"/>
  <c r="G15" s="1"/>
  <c r="G30" s="1"/>
  <c r="L15"/>
  <c r="L30" s="1"/>
  <c r="K15"/>
  <c r="K30" s="1"/>
  <c r="J27"/>
  <c r="I15"/>
  <c r="I30" s="1"/>
  <c r="H30"/>
  <c r="F11"/>
  <c r="F15" s="1"/>
  <c r="F30" s="1"/>
  <c r="B11"/>
  <c r="B15" s="1"/>
  <c r="C15"/>
  <c r="C30" s="1"/>
  <c r="B31"/>
  <c r="B27"/>
  <c r="G26"/>
  <c r="G31" s="1"/>
  <c r="D26"/>
  <c r="D31" s="1"/>
  <c r="H26"/>
  <c r="H31" s="1"/>
  <c r="L26"/>
  <c r="L31" s="1"/>
  <c r="C27"/>
  <c r="K27"/>
  <c r="E26"/>
  <c r="E31" s="1"/>
  <c r="I26"/>
  <c r="I31" s="1"/>
  <c r="M26"/>
  <c r="M31" s="1"/>
  <c r="B30" l="1"/>
  <c r="B32" s="1"/>
  <c r="C29" s="1"/>
  <c r="C32" s="1"/>
  <c r="D29" s="1"/>
  <c r="E29" s="1"/>
  <c r="E32" s="1"/>
  <c r="F29" s="1"/>
  <c r="F32" s="1"/>
  <c r="G29" s="1"/>
  <c r="G32" s="1"/>
  <c r="H29" s="1"/>
  <c r="H32" s="1"/>
  <c r="I29" s="1"/>
  <c r="I32" s="1"/>
  <c r="J29" s="1"/>
  <c r="J32" s="1"/>
  <c r="K29" s="1"/>
  <c r="K32" l="1"/>
  <c r="L29" s="1"/>
  <c r="L32" s="1"/>
  <c r="M32" s="1"/>
</calcChain>
</file>

<file path=xl/sharedStrings.xml><?xml version="1.0" encoding="utf-8"?>
<sst xmlns="http://schemas.openxmlformats.org/spreadsheetml/2006/main" count="120" uniqueCount="39">
  <si>
    <r>
      <t>RECEITA</t>
    </r>
    <r>
      <rPr>
        <sz val="8"/>
        <rFont val="Arial"/>
        <family val="2"/>
      </rPr>
      <t xml:space="preserve"> </t>
    </r>
  </si>
  <si>
    <t>TOTAL</t>
  </si>
  <si>
    <t>Contrib. Do Serv. Ativo/inat</t>
  </si>
  <si>
    <t>Contrib. Patronal</t>
  </si>
  <si>
    <t>Contrib.Amortiz.Déficit At.</t>
  </si>
  <si>
    <t>Recebim. Parcelam.Débito</t>
  </si>
  <si>
    <t>Outras Receitas</t>
  </si>
  <si>
    <t>Juros/Rendim.Apl. Fin.</t>
  </si>
  <si>
    <t>Compensação Financeira</t>
  </si>
  <si>
    <t>REC. ORÇAMENTÁRIA</t>
  </si>
  <si>
    <t>Transf.Pref. P/ pag.Inat.Pens.</t>
  </si>
  <si>
    <t>Outras Rec.Extra orçam.</t>
  </si>
  <si>
    <t>TOTAL DA REC.EXTRA ORÇAM.</t>
  </si>
  <si>
    <t>TOTAL DA RECEITA</t>
  </si>
  <si>
    <t>DESPESA</t>
  </si>
  <si>
    <t>Após.pension.da Prefeitura</t>
  </si>
  <si>
    <t>Aposentad.do IPREMPE</t>
  </si>
  <si>
    <t>Pensões do IPREMPE</t>
  </si>
  <si>
    <t>Outros Benef.Previdenc.</t>
  </si>
  <si>
    <t>Despesas Administrativas</t>
  </si>
  <si>
    <t>Outras Despesas</t>
  </si>
  <si>
    <t>TOTAL DESP.ORÇAM.</t>
  </si>
  <si>
    <t>DESP.EXTRAORÇAM.</t>
  </si>
  <si>
    <t>TOTAL GERAL  DESP.</t>
  </si>
  <si>
    <t>DESPESA SÓ DO IPREMPE (EXCLUINDO INAT.PENSION.DA PREF.)</t>
  </si>
  <si>
    <t>Saldo Anterior</t>
  </si>
  <si>
    <t>Receita</t>
  </si>
  <si>
    <t>Despesa</t>
  </si>
  <si>
    <t>SALDO ATUAL</t>
  </si>
  <si>
    <t>MARGARETE TEODORA S.J. SOARES CHEIN</t>
  </si>
  <si>
    <t>ELIANE TEODORO PEREIRA AMARAL</t>
  </si>
  <si>
    <t>SUPERINTENDENTE</t>
  </si>
  <si>
    <t>TESOUREIRA</t>
  </si>
  <si>
    <t>Essas informações encontram-se disponível no Site Oficial do IPREMPE: http://iprempeperdigao.mg.gov.br/</t>
  </si>
  <si>
    <t>INSTITUTO DE PREVIDENCIA MUNICIPAL DE PERDIGAO-MG</t>
  </si>
  <si>
    <t>FLUXO DE CAIXA EXERCICIO DE 2020</t>
  </si>
  <si>
    <t>-</t>
  </si>
  <si>
    <t>FLUXO DE CAIXA EXERCICIO DE 2021</t>
  </si>
  <si>
    <t>FLUXO DE CAIXA EXERCICIO DE 2022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</si>
</sst>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/>
    </xf>
    <xf numFmtId="17" fontId="3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2" fillId="0" borderId="1" xfId="1" applyNumberFormat="1" applyFont="1" applyBorder="1"/>
    <xf numFmtId="4" fontId="2" fillId="0" borderId="0" xfId="1" applyNumberFormat="1" applyFont="1"/>
    <xf numFmtId="4" fontId="2" fillId="0" borderId="1" xfId="1" applyNumberFormat="1" applyFont="1" applyBorder="1" applyAlignment="1"/>
    <xf numFmtId="4" fontId="3" fillId="2" borderId="1" xfId="1" applyNumberFormat="1" applyFont="1" applyFill="1" applyBorder="1"/>
    <xf numFmtId="4" fontId="2" fillId="3" borderId="1" xfId="1" applyNumberFormat="1" applyFont="1" applyFill="1" applyBorder="1"/>
    <xf numFmtId="4" fontId="3" fillId="0" borderId="1" xfId="1" applyNumberFormat="1" applyFont="1" applyBorder="1"/>
    <xf numFmtId="4" fontId="3" fillId="0" borderId="0" xfId="1" applyNumberFormat="1" applyFont="1"/>
    <xf numFmtId="4" fontId="2" fillId="4" borderId="1" xfId="1" applyNumberFormat="1" applyFont="1" applyFill="1" applyBorder="1"/>
    <xf numFmtId="4" fontId="2" fillId="0" borderId="1" xfId="1" applyNumberFormat="1" applyFont="1" applyBorder="1" applyAlignment="1">
      <alignment horizontal="right"/>
    </xf>
    <xf numFmtId="4" fontId="2" fillId="2" borderId="1" xfId="1" applyNumberFormat="1" applyFont="1" applyFill="1" applyBorder="1"/>
    <xf numFmtId="4" fontId="3" fillId="4" borderId="2" xfId="0" applyNumberFormat="1" applyFont="1" applyFill="1" applyBorder="1" applyAlignment="1">
      <alignment horizontal="center"/>
    </xf>
    <xf numFmtId="4" fontId="2" fillId="0" borderId="1" xfId="1" applyNumberFormat="1" applyFont="1" applyBorder="1" applyAlignment="1">
      <alignment horizontal="left" indent="1"/>
    </xf>
    <xf numFmtId="4" fontId="2" fillId="0" borderId="0" xfId="0" applyNumberFormat="1" applyFont="1"/>
    <xf numFmtId="3" fontId="2" fillId="0" borderId="1" xfId="1" applyNumberFormat="1" applyFont="1" applyBorder="1"/>
    <xf numFmtId="3" fontId="2" fillId="3" borderId="1" xfId="1" applyNumberFormat="1" applyFont="1" applyFill="1" applyBorder="1"/>
    <xf numFmtId="3" fontId="2" fillId="0" borderId="0" xfId="1" applyNumberFormat="1" applyFont="1"/>
    <xf numFmtId="3" fontId="2" fillId="0" borderId="1" xfId="1" applyNumberFormat="1" applyFont="1" applyBorder="1" applyAlignment="1"/>
    <xf numFmtId="3" fontId="3" fillId="2" borderId="1" xfId="1" applyNumberFormat="1" applyFont="1" applyFill="1" applyBorder="1"/>
    <xf numFmtId="3" fontId="2" fillId="0" borderId="1" xfId="1" applyNumberFormat="1" applyFont="1" applyBorder="1" applyAlignment="1">
      <alignment horizontal="right"/>
    </xf>
    <xf numFmtId="3" fontId="3" fillId="0" borderId="1" xfId="1" applyNumberFormat="1" applyFont="1" applyBorder="1"/>
    <xf numFmtId="3" fontId="2" fillId="2" borderId="1" xfId="1" applyNumberFormat="1" applyFont="1" applyFill="1" applyBorder="1"/>
    <xf numFmtId="43" fontId="2" fillId="0" borderId="0" xfId="0" applyNumberFormat="1" applyFont="1"/>
    <xf numFmtId="4" fontId="5" fillId="0" borderId="1" xfId="1" applyNumberFormat="1" applyFont="1" applyBorder="1" applyAlignment="1"/>
    <xf numFmtId="4" fontId="5" fillId="0" borderId="1" xfId="1" applyNumberFormat="1" applyFont="1" applyBorder="1"/>
    <xf numFmtId="4" fontId="6" fillId="0" borderId="1" xfId="1" applyNumberFormat="1" applyFont="1" applyBorder="1"/>
    <xf numFmtId="4" fontId="2" fillId="0" borderId="9" xfId="1" applyNumberFormat="1" applyFont="1" applyBorder="1"/>
    <xf numFmtId="4" fontId="2" fillId="0" borderId="9" xfId="1" applyNumberFormat="1" applyFont="1" applyBorder="1" applyAlignment="1"/>
    <xf numFmtId="44" fontId="2" fillId="0" borderId="1" xfId="1" applyFont="1" applyBorder="1"/>
    <xf numFmtId="44" fontId="6" fillId="0" borderId="1" xfId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zoomScale="90" zoomScaleNormal="90" workbookViewId="0">
      <selection activeCell="B9" sqref="B9"/>
    </sheetView>
  </sheetViews>
  <sheetFormatPr defaultRowHeight="11.25"/>
  <cols>
    <col min="1" max="1" width="20.28515625" style="1" customWidth="1"/>
    <col min="2" max="3" width="11.7109375" style="1" customWidth="1"/>
    <col min="4" max="4" width="14" style="1" customWidth="1"/>
    <col min="5" max="5" width="11.7109375" style="1" customWidth="1"/>
    <col min="6" max="6" width="11.5703125" style="1" customWidth="1"/>
    <col min="7" max="7" width="12" style="1" customWidth="1"/>
    <col min="8" max="8" width="12.7109375" style="1" customWidth="1"/>
    <col min="9" max="9" width="11.5703125" style="1" customWidth="1"/>
    <col min="10" max="10" width="11.42578125" style="1" customWidth="1"/>
    <col min="11" max="11" width="11.5703125" style="1" customWidth="1"/>
    <col min="12" max="12" width="12" style="1" customWidth="1"/>
    <col min="13" max="13" width="13.7109375" style="1" customWidth="1"/>
    <col min="14" max="255" width="9.140625" style="1"/>
    <col min="256" max="256" width="20.28515625" style="1" customWidth="1"/>
    <col min="257" max="258" width="10.28515625" style="1" customWidth="1"/>
    <col min="259" max="259" width="9.5703125" style="1" customWidth="1"/>
    <col min="260" max="260" width="9.7109375" style="1" customWidth="1"/>
    <col min="261" max="262" width="9.85546875" style="1" customWidth="1"/>
    <col min="263" max="263" width="9.7109375" style="1" customWidth="1"/>
    <col min="264" max="264" width="12" style="1" bestFit="1" customWidth="1"/>
    <col min="265" max="265" width="10.28515625" style="1" customWidth="1"/>
    <col min="266" max="267" width="9.85546875" style="1" bestFit="1" customWidth="1"/>
    <col min="268" max="268" width="9.85546875" style="1" customWidth="1"/>
    <col min="269" max="269" width="11" style="1" customWidth="1"/>
    <col min="270" max="511" width="9.140625" style="1"/>
    <col min="512" max="512" width="20.28515625" style="1" customWidth="1"/>
    <col min="513" max="514" width="10.28515625" style="1" customWidth="1"/>
    <col min="515" max="515" width="9.5703125" style="1" customWidth="1"/>
    <col min="516" max="516" width="9.7109375" style="1" customWidth="1"/>
    <col min="517" max="518" width="9.85546875" style="1" customWidth="1"/>
    <col min="519" max="519" width="9.7109375" style="1" customWidth="1"/>
    <col min="520" max="520" width="12" style="1" bestFit="1" customWidth="1"/>
    <col min="521" max="521" width="10.28515625" style="1" customWidth="1"/>
    <col min="522" max="523" width="9.85546875" style="1" bestFit="1" customWidth="1"/>
    <col min="524" max="524" width="9.85546875" style="1" customWidth="1"/>
    <col min="525" max="525" width="11" style="1" customWidth="1"/>
    <col min="526" max="767" width="9.140625" style="1"/>
    <col min="768" max="768" width="20.28515625" style="1" customWidth="1"/>
    <col min="769" max="770" width="10.28515625" style="1" customWidth="1"/>
    <col min="771" max="771" width="9.5703125" style="1" customWidth="1"/>
    <col min="772" max="772" width="9.7109375" style="1" customWidth="1"/>
    <col min="773" max="774" width="9.85546875" style="1" customWidth="1"/>
    <col min="775" max="775" width="9.7109375" style="1" customWidth="1"/>
    <col min="776" max="776" width="12" style="1" bestFit="1" customWidth="1"/>
    <col min="777" max="777" width="10.28515625" style="1" customWidth="1"/>
    <col min="778" max="779" width="9.85546875" style="1" bestFit="1" customWidth="1"/>
    <col min="780" max="780" width="9.85546875" style="1" customWidth="1"/>
    <col min="781" max="781" width="11" style="1" customWidth="1"/>
    <col min="782" max="1023" width="9.140625" style="1"/>
    <col min="1024" max="1024" width="20.28515625" style="1" customWidth="1"/>
    <col min="1025" max="1026" width="10.28515625" style="1" customWidth="1"/>
    <col min="1027" max="1027" width="9.5703125" style="1" customWidth="1"/>
    <col min="1028" max="1028" width="9.7109375" style="1" customWidth="1"/>
    <col min="1029" max="1030" width="9.85546875" style="1" customWidth="1"/>
    <col min="1031" max="1031" width="9.7109375" style="1" customWidth="1"/>
    <col min="1032" max="1032" width="12" style="1" bestFit="1" customWidth="1"/>
    <col min="1033" max="1033" width="10.28515625" style="1" customWidth="1"/>
    <col min="1034" max="1035" width="9.85546875" style="1" bestFit="1" customWidth="1"/>
    <col min="1036" max="1036" width="9.85546875" style="1" customWidth="1"/>
    <col min="1037" max="1037" width="11" style="1" customWidth="1"/>
    <col min="1038" max="1279" width="9.140625" style="1"/>
    <col min="1280" max="1280" width="20.28515625" style="1" customWidth="1"/>
    <col min="1281" max="1282" width="10.28515625" style="1" customWidth="1"/>
    <col min="1283" max="1283" width="9.5703125" style="1" customWidth="1"/>
    <col min="1284" max="1284" width="9.7109375" style="1" customWidth="1"/>
    <col min="1285" max="1286" width="9.85546875" style="1" customWidth="1"/>
    <col min="1287" max="1287" width="9.7109375" style="1" customWidth="1"/>
    <col min="1288" max="1288" width="12" style="1" bestFit="1" customWidth="1"/>
    <col min="1289" max="1289" width="10.28515625" style="1" customWidth="1"/>
    <col min="1290" max="1291" width="9.85546875" style="1" bestFit="1" customWidth="1"/>
    <col min="1292" max="1292" width="9.85546875" style="1" customWidth="1"/>
    <col min="1293" max="1293" width="11" style="1" customWidth="1"/>
    <col min="1294" max="1535" width="9.140625" style="1"/>
    <col min="1536" max="1536" width="20.28515625" style="1" customWidth="1"/>
    <col min="1537" max="1538" width="10.28515625" style="1" customWidth="1"/>
    <col min="1539" max="1539" width="9.5703125" style="1" customWidth="1"/>
    <col min="1540" max="1540" width="9.7109375" style="1" customWidth="1"/>
    <col min="1541" max="1542" width="9.85546875" style="1" customWidth="1"/>
    <col min="1543" max="1543" width="9.7109375" style="1" customWidth="1"/>
    <col min="1544" max="1544" width="12" style="1" bestFit="1" customWidth="1"/>
    <col min="1545" max="1545" width="10.28515625" style="1" customWidth="1"/>
    <col min="1546" max="1547" width="9.85546875" style="1" bestFit="1" customWidth="1"/>
    <col min="1548" max="1548" width="9.85546875" style="1" customWidth="1"/>
    <col min="1549" max="1549" width="11" style="1" customWidth="1"/>
    <col min="1550" max="1791" width="9.140625" style="1"/>
    <col min="1792" max="1792" width="20.28515625" style="1" customWidth="1"/>
    <col min="1793" max="1794" width="10.28515625" style="1" customWidth="1"/>
    <col min="1795" max="1795" width="9.5703125" style="1" customWidth="1"/>
    <col min="1796" max="1796" width="9.7109375" style="1" customWidth="1"/>
    <col min="1797" max="1798" width="9.85546875" style="1" customWidth="1"/>
    <col min="1799" max="1799" width="9.7109375" style="1" customWidth="1"/>
    <col min="1800" max="1800" width="12" style="1" bestFit="1" customWidth="1"/>
    <col min="1801" max="1801" width="10.28515625" style="1" customWidth="1"/>
    <col min="1802" max="1803" width="9.85546875" style="1" bestFit="1" customWidth="1"/>
    <col min="1804" max="1804" width="9.85546875" style="1" customWidth="1"/>
    <col min="1805" max="1805" width="11" style="1" customWidth="1"/>
    <col min="1806" max="2047" width="9.140625" style="1"/>
    <col min="2048" max="2048" width="20.28515625" style="1" customWidth="1"/>
    <col min="2049" max="2050" width="10.28515625" style="1" customWidth="1"/>
    <col min="2051" max="2051" width="9.5703125" style="1" customWidth="1"/>
    <col min="2052" max="2052" width="9.7109375" style="1" customWidth="1"/>
    <col min="2053" max="2054" width="9.85546875" style="1" customWidth="1"/>
    <col min="2055" max="2055" width="9.7109375" style="1" customWidth="1"/>
    <col min="2056" max="2056" width="12" style="1" bestFit="1" customWidth="1"/>
    <col min="2057" max="2057" width="10.28515625" style="1" customWidth="1"/>
    <col min="2058" max="2059" width="9.85546875" style="1" bestFit="1" customWidth="1"/>
    <col min="2060" max="2060" width="9.85546875" style="1" customWidth="1"/>
    <col min="2061" max="2061" width="11" style="1" customWidth="1"/>
    <col min="2062" max="2303" width="9.140625" style="1"/>
    <col min="2304" max="2304" width="20.28515625" style="1" customWidth="1"/>
    <col min="2305" max="2306" width="10.28515625" style="1" customWidth="1"/>
    <col min="2307" max="2307" width="9.5703125" style="1" customWidth="1"/>
    <col min="2308" max="2308" width="9.7109375" style="1" customWidth="1"/>
    <col min="2309" max="2310" width="9.85546875" style="1" customWidth="1"/>
    <col min="2311" max="2311" width="9.7109375" style="1" customWidth="1"/>
    <col min="2312" max="2312" width="12" style="1" bestFit="1" customWidth="1"/>
    <col min="2313" max="2313" width="10.28515625" style="1" customWidth="1"/>
    <col min="2314" max="2315" width="9.85546875" style="1" bestFit="1" customWidth="1"/>
    <col min="2316" max="2316" width="9.85546875" style="1" customWidth="1"/>
    <col min="2317" max="2317" width="11" style="1" customWidth="1"/>
    <col min="2318" max="2559" width="9.140625" style="1"/>
    <col min="2560" max="2560" width="20.28515625" style="1" customWidth="1"/>
    <col min="2561" max="2562" width="10.28515625" style="1" customWidth="1"/>
    <col min="2563" max="2563" width="9.5703125" style="1" customWidth="1"/>
    <col min="2564" max="2564" width="9.7109375" style="1" customWidth="1"/>
    <col min="2565" max="2566" width="9.85546875" style="1" customWidth="1"/>
    <col min="2567" max="2567" width="9.7109375" style="1" customWidth="1"/>
    <col min="2568" max="2568" width="12" style="1" bestFit="1" customWidth="1"/>
    <col min="2569" max="2569" width="10.28515625" style="1" customWidth="1"/>
    <col min="2570" max="2571" width="9.85546875" style="1" bestFit="1" customWidth="1"/>
    <col min="2572" max="2572" width="9.85546875" style="1" customWidth="1"/>
    <col min="2573" max="2573" width="11" style="1" customWidth="1"/>
    <col min="2574" max="2815" width="9.140625" style="1"/>
    <col min="2816" max="2816" width="20.28515625" style="1" customWidth="1"/>
    <col min="2817" max="2818" width="10.28515625" style="1" customWidth="1"/>
    <col min="2819" max="2819" width="9.5703125" style="1" customWidth="1"/>
    <col min="2820" max="2820" width="9.7109375" style="1" customWidth="1"/>
    <col min="2821" max="2822" width="9.85546875" style="1" customWidth="1"/>
    <col min="2823" max="2823" width="9.7109375" style="1" customWidth="1"/>
    <col min="2824" max="2824" width="12" style="1" bestFit="1" customWidth="1"/>
    <col min="2825" max="2825" width="10.28515625" style="1" customWidth="1"/>
    <col min="2826" max="2827" width="9.85546875" style="1" bestFit="1" customWidth="1"/>
    <col min="2828" max="2828" width="9.85546875" style="1" customWidth="1"/>
    <col min="2829" max="2829" width="11" style="1" customWidth="1"/>
    <col min="2830" max="3071" width="9.140625" style="1"/>
    <col min="3072" max="3072" width="20.28515625" style="1" customWidth="1"/>
    <col min="3073" max="3074" width="10.28515625" style="1" customWidth="1"/>
    <col min="3075" max="3075" width="9.5703125" style="1" customWidth="1"/>
    <col min="3076" max="3076" width="9.7109375" style="1" customWidth="1"/>
    <col min="3077" max="3078" width="9.85546875" style="1" customWidth="1"/>
    <col min="3079" max="3079" width="9.7109375" style="1" customWidth="1"/>
    <col min="3080" max="3080" width="12" style="1" bestFit="1" customWidth="1"/>
    <col min="3081" max="3081" width="10.28515625" style="1" customWidth="1"/>
    <col min="3082" max="3083" width="9.85546875" style="1" bestFit="1" customWidth="1"/>
    <col min="3084" max="3084" width="9.85546875" style="1" customWidth="1"/>
    <col min="3085" max="3085" width="11" style="1" customWidth="1"/>
    <col min="3086" max="3327" width="9.140625" style="1"/>
    <col min="3328" max="3328" width="20.28515625" style="1" customWidth="1"/>
    <col min="3329" max="3330" width="10.28515625" style="1" customWidth="1"/>
    <col min="3331" max="3331" width="9.5703125" style="1" customWidth="1"/>
    <col min="3332" max="3332" width="9.7109375" style="1" customWidth="1"/>
    <col min="3333" max="3334" width="9.85546875" style="1" customWidth="1"/>
    <col min="3335" max="3335" width="9.7109375" style="1" customWidth="1"/>
    <col min="3336" max="3336" width="12" style="1" bestFit="1" customWidth="1"/>
    <col min="3337" max="3337" width="10.28515625" style="1" customWidth="1"/>
    <col min="3338" max="3339" width="9.85546875" style="1" bestFit="1" customWidth="1"/>
    <col min="3340" max="3340" width="9.85546875" style="1" customWidth="1"/>
    <col min="3341" max="3341" width="11" style="1" customWidth="1"/>
    <col min="3342" max="3583" width="9.140625" style="1"/>
    <col min="3584" max="3584" width="20.28515625" style="1" customWidth="1"/>
    <col min="3585" max="3586" width="10.28515625" style="1" customWidth="1"/>
    <col min="3587" max="3587" width="9.5703125" style="1" customWidth="1"/>
    <col min="3588" max="3588" width="9.7109375" style="1" customWidth="1"/>
    <col min="3589" max="3590" width="9.85546875" style="1" customWidth="1"/>
    <col min="3591" max="3591" width="9.7109375" style="1" customWidth="1"/>
    <col min="3592" max="3592" width="12" style="1" bestFit="1" customWidth="1"/>
    <col min="3593" max="3593" width="10.28515625" style="1" customWidth="1"/>
    <col min="3594" max="3595" width="9.85546875" style="1" bestFit="1" customWidth="1"/>
    <col min="3596" max="3596" width="9.85546875" style="1" customWidth="1"/>
    <col min="3597" max="3597" width="11" style="1" customWidth="1"/>
    <col min="3598" max="3839" width="9.140625" style="1"/>
    <col min="3840" max="3840" width="20.28515625" style="1" customWidth="1"/>
    <col min="3841" max="3842" width="10.28515625" style="1" customWidth="1"/>
    <col min="3843" max="3843" width="9.5703125" style="1" customWidth="1"/>
    <col min="3844" max="3844" width="9.7109375" style="1" customWidth="1"/>
    <col min="3845" max="3846" width="9.85546875" style="1" customWidth="1"/>
    <col min="3847" max="3847" width="9.7109375" style="1" customWidth="1"/>
    <col min="3848" max="3848" width="12" style="1" bestFit="1" customWidth="1"/>
    <col min="3849" max="3849" width="10.28515625" style="1" customWidth="1"/>
    <col min="3850" max="3851" width="9.85546875" style="1" bestFit="1" customWidth="1"/>
    <col min="3852" max="3852" width="9.85546875" style="1" customWidth="1"/>
    <col min="3853" max="3853" width="11" style="1" customWidth="1"/>
    <col min="3854" max="4095" width="9.140625" style="1"/>
    <col min="4096" max="4096" width="20.28515625" style="1" customWidth="1"/>
    <col min="4097" max="4098" width="10.28515625" style="1" customWidth="1"/>
    <col min="4099" max="4099" width="9.5703125" style="1" customWidth="1"/>
    <col min="4100" max="4100" width="9.7109375" style="1" customWidth="1"/>
    <col min="4101" max="4102" width="9.85546875" style="1" customWidth="1"/>
    <col min="4103" max="4103" width="9.7109375" style="1" customWidth="1"/>
    <col min="4104" max="4104" width="12" style="1" bestFit="1" customWidth="1"/>
    <col min="4105" max="4105" width="10.28515625" style="1" customWidth="1"/>
    <col min="4106" max="4107" width="9.85546875" style="1" bestFit="1" customWidth="1"/>
    <col min="4108" max="4108" width="9.85546875" style="1" customWidth="1"/>
    <col min="4109" max="4109" width="11" style="1" customWidth="1"/>
    <col min="4110" max="4351" width="9.140625" style="1"/>
    <col min="4352" max="4352" width="20.28515625" style="1" customWidth="1"/>
    <col min="4353" max="4354" width="10.28515625" style="1" customWidth="1"/>
    <col min="4355" max="4355" width="9.5703125" style="1" customWidth="1"/>
    <col min="4356" max="4356" width="9.7109375" style="1" customWidth="1"/>
    <col min="4357" max="4358" width="9.85546875" style="1" customWidth="1"/>
    <col min="4359" max="4359" width="9.7109375" style="1" customWidth="1"/>
    <col min="4360" max="4360" width="12" style="1" bestFit="1" customWidth="1"/>
    <col min="4361" max="4361" width="10.28515625" style="1" customWidth="1"/>
    <col min="4362" max="4363" width="9.85546875" style="1" bestFit="1" customWidth="1"/>
    <col min="4364" max="4364" width="9.85546875" style="1" customWidth="1"/>
    <col min="4365" max="4365" width="11" style="1" customWidth="1"/>
    <col min="4366" max="4607" width="9.140625" style="1"/>
    <col min="4608" max="4608" width="20.28515625" style="1" customWidth="1"/>
    <col min="4609" max="4610" width="10.28515625" style="1" customWidth="1"/>
    <col min="4611" max="4611" width="9.5703125" style="1" customWidth="1"/>
    <col min="4612" max="4612" width="9.7109375" style="1" customWidth="1"/>
    <col min="4613" max="4614" width="9.85546875" style="1" customWidth="1"/>
    <col min="4615" max="4615" width="9.7109375" style="1" customWidth="1"/>
    <col min="4616" max="4616" width="12" style="1" bestFit="1" customWidth="1"/>
    <col min="4617" max="4617" width="10.28515625" style="1" customWidth="1"/>
    <col min="4618" max="4619" width="9.85546875" style="1" bestFit="1" customWidth="1"/>
    <col min="4620" max="4620" width="9.85546875" style="1" customWidth="1"/>
    <col min="4621" max="4621" width="11" style="1" customWidth="1"/>
    <col min="4622" max="4863" width="9.140625" style="1"/>
    <col min="4864" max="4864" width="20.28515625" style="1" customWidth="1"/>
    <col min="4865" max="4866" width="10.28515625" style="1" customWidth="1"/>
    <col min="4867" max="4867" width="9.5703125" style="1" customWidth="1"/>
    <col min="4868" max="4868" width="9.7109375" style="1" customWidth="1"/>
    <col min="4869" max="4870" width="9.85546875" style="1" customWidth="1"/>
    <col min="4871" max="4871" width="9.7109375" style="1" customWidth="1"/>
    <col min="4872" max="4872" width="12" style="1" bestFit="1" customWidth="1"/>
    <col min="4873" max="4873" width="10.28515625" style="1" customWidth="1"/>
    <col min="4874" max="4875" width="9.85546875" style="1" bestFit="1" customWidth="1"/>
    <col min="4876" max="4876" width="9.85546875" style="1" customWidth="1"/>
    <col min="4877" max="4877" width="11" style="1" customWidth="1"/>
    <col min="4878" max="5119" width="9.140625" style="1"/>
    <col min="5120" max="5120" width="20.28515625" style="1" customWidth="1"/>
    <col min="5121" max="5122" width="10.28515625" style="1" customWidth="1"/>
    <col min="5123" max="5123" width="9.5703125" style="1" customWidth="1"/>
    <col min="5124" max="5124" width="9.7109375" style="1" customWidth="1"/>
    <col min="5125" max="5126" width="9.85546875" style="1" customWidth="1"/>
    <col min="5127" max="5127" width="9.7109375" style="1" customWidth="1"/>
    <col min="5128" max="5128" width="12" style="1" bestFit="1" customWidth="1"/>
    <col min="5129" max="5129" width="10.28515625" style="1" customWidth="1"/>
    <col min="5130" max="5131" width="9.85546875" style="1" bestFit="1" customWidth="1"/>
    <col min="5132" max="5132" width="9.85546875" style="1" customWidth="1"/>
    <col min="5133" max="5133" width="11" style="1" customWidth="1"/>
    <col min="5134" max="5375" width="9.140625" style="1"/>
    <col min="5376" max="5376" width="20.28515625" style="1" customWidth="1"/>
    <col min="5377" max="5378" width="10.28515625" style="1" customWidth="1"/>
    <col min="5379" max="5379" width="9.5703125" style="1" customWidth="1"/>
    <col min="5380" max="5380" width="9.7109375" style="1" customWidth="1"/>
    <col min="5381" max="5382" width="9.85546875" style="1" customWidth="1"/>
    <col min="5383" max="5383" width="9.7109375" style="1" customWidth="1"/>
    <col min="5384" max="5384" width="12" style="1" bestFit="1" customWidth="1"/>
    <col min="5385" max="5385" width="10.28515625" style="1" customWidth="1"/>
    <col min="5386" max="5387" width="9.85546875" style="1" bestFit="1" customWidth="1"/>
    <col min="5388" max="5388" width="9.85546875" style="1" customWidth="1"/>
    <col min="5389" max="5389" width="11" style="1" customWidth="1"/>
    <col min="5390" max="5631" width="9.140625" style="1"/>
    <col min="5632" max="5632" width="20.28515625" style="1" customWidth="1"/>
    <col min="5633" max="5634" width="10.28515625" style="1" customWidth="1"/>
    <col min="5635" max="5635" width="9.5703125" style="1" customWidth="1"/>
    <col min="5636" max="5636" width="9.7109375" style="1" customWidth="1"/>
    <col min="5637" max="5638" width="9.85546875" style="1" customWidth="1"/>
    <col min="5639" max="5639" width="9.7109375" style="1" customWidth="1"/>
    <col min="5640" max="5640" width="12" style="1" bestFit="1" customWidth="1"/>
    <col min="5641" max="5641" width="10.28515625" style="1" customWidth="1"/>
    <col min="5642" max="5643" width="9.85546875" style="1" bestFit="1" customWidth="1"/>
    <col min="5644" max="5644" width="9.85546875" style="1" customWidth="1"/>
    <col min="5645" max="5645" width="11" style="1" customWidth="1"/>
    <col min="5646" max="5887" width="9.140625" style="1"/>
    <col min="5888" max="5888" width="20.28515625" style="1" customWidth="1"/>
    <col min="5889" max="5890" width="10.28515625" style="1" customWidth="1"/>
    <col min="5891" max="5891" width="9.5703125" style="1" customWidth="1"/>
    <col min="5892" max="5892" width="9.7109375" style="1" customWidth="1"/>
    <col min="5893" max="5894" width="9.85546875" style="1" customWidth="1"/>
    <col min="5895" max="5895" width="9.7109375" style="1" customWidth="1"/>
    <col min="5896" max="5896" width="12" style="1" bestFit="1" customWidth="1"/>
    <col min="5897" max="5897" width="10.28515625" style="1" customWidth="1"/>
    <col min="5898" max="5899" width="9.85546875" style="1" bestFit="1" customWidth="1"/>
    <col min="5900" max="5900" width="9.85546875" style="1" customWidth="1"/>
    <col min="5901" max="5901" width="11" style="1" customWidth="1"/>
    <col min="5902" max="6143" width="9.140625" style="1"/>
    <col min="6144" max="6144" width="20.28515625" style="1" customWidth="1"/>
    <col min="6145" max="6146" width="10.28515625" style="1" customWidth="1"/>
    <col min="6147" max="6147" width="9.5703125" style="1" customWidth="1"/>
    <col min="6148" max="6148" width="9.7109375" style="1" customWidth="1"/>
    <col min="6149" max="6150" width="9.85546875" style="1" customWidth="1"/>
    <col min="6151" max="6151" width="9.7109375" style="1" customWidth="1"/>
    <col min="6152" max="6152" width="12" style="1" bestFit="1" customWidth="1"/>
    <col min="6153" max="6153" width="10.28515625" style="1" customWidth="1"/>
    <col min="6154" max="6155" width="9.85546875" style="1" bestFit="1" customWidth="1"/>
    <col min="6156" max="6156" width="9.85546875" style="1" customWidth="1"/>
    <col min="6157" max="6157" width="11" style="1" customWidth="1"/>
    <col min="6158" max="6399" width="9.140625" style="1"/>
    <col min="6400" max="6400" width="20.28515625" style="1" customWidth="1"/>
    <col min="6401" max="6402" width="10.28515625" style="1" customWidth="1"/>
    <col min="6403" max="6403" width="9.5703125" style="1" customWidth="1"/>
    <col min="6404" max="6404" width="9.7109375" style="1" customWidth="1"/>
    <col min="6405" max="6406" width="9.85546875" style="1" customWidth="1"/>
    <col min="6407" max="6407" width="9.7109375" style="1" customWidth="1"/>
    <col min="6408" max="6408" width="12" style="1" bestFit="1" customWidth="1"/>
    <col min="6409" max="6409" width="10.28515625" style="1" customWidth="1"/>
    <col min="6410" max="6411" width="9.85546875" style="1" bestFit="1" customWidth="1"/>
    <col min="6412" max="6412" width="9.85546875" style="1" customWidth="1"/>
    <col min="6413" max="6413" width="11" style="1" customWidth="1"/>
    <col min="6414" max="6655" width="9.140625" style="1"/>
    <col min="6656" max="6656" width="20.28515625" style="1" customWidth="1"/>
    <col min="6657" max="6658" width="10.28515625" style="1" customWidth="1"/>
    <col min="6659" max="6659" width="9.5703125" style="1" customWidth="1"/>
    <col min="6660" max="6660" width="9.7109375" style="1" customWidth="1"/>
    <col min="6661" max="6662" width="9.85546875" style="1" customWidth="1"/>
    <col min="6663" max="6663" width="9.7109375" style="1" customWidth="1"/>
    <col min="6664" max="6664" width="12" style="1" bestFit="1" customWidth="1"/>
    <col min="6665" max="6665" width="10.28515625" style="1" customWidth="1"/>
    <col min="6666" max="6667" width="9.85546875" style="1" bestFit="1" customWidth="1"/>
    <col min="6668" max="6668" width="9.85546875" style="1" customWidth="1"/>
    <col min="6669" max="6669" width="11" style="1" customWidth="1"/>
    <col min="6670" max="6911" width="9.140625" style="1"/>
    <col min="6912" max="6912" width="20.28515625" style="1" customWidth="1"/>
    <col min="6913" max="6914" width="10.28515625" style="1" customWidth="1"/>
    <col min="6915" max="6915" width="9.5703125" style="1" customWidth="1"/>
    <col min="6916" max="6916" width="9.7109375" style="1" customWidth="1"/>
    <col min="6917" max="6918" width="9.85546875" style="1" customWidth="1"/>
    <col min="6919" max="6919" width="9.7109375" style="1" customWidth="1"/>
    <col min="6920" max="6920" width="12" style="1" bestFit="1" customWidth="1"/>
    <col min="6921" max="6921" width="10.28515625" style="1" customWidth="1"/>
    <col min="6922" max="6923" width="9.85546875" style="1" bestFit="1" customWidth="1"/>
    <col min="6924" max="6924" width="9.85546875" style="1" customWidth="1"/>
    <col min="6925" max="6925" width="11" style="1" customWidth="1"/>
    <col min="6926" max="7167" width="9.140625" style="1"/>
    <col min="7168" max="7168" width="20.28515625" style="1" customWidth="1"/>
    <col min="7169" max="7170" width="10.28515625" style="1" customWidth="1"/>
    <col min="7171" max="7171" width="9.5703125" style="1" customWidth="1"/>
    <col min="7172" max="7172" width="9.7109375" style="1" customWidth="1"/>
    <col min="7173" max="7174" width="9.85546875" style="1" customWidth="1"/>
    <col min="7175" max="7175" width="9.7109375" style="1" customWidth="1"/>
    <col min="7176" max="7176" width="12" style="1" bestFit="1" customWidth="1"/>
    <col min="7177" max="7177" width="10.28515625" style="1" customWidth="1"/>
    <col min="7178" max="7179" width="9.85546875" style="1" bestFit="1" customWidth="1"/>
    <col min="7180" max="7180" width="9.85546875" style="1" customWidth="1"/>
    <col min="7181" max="7181" width="11" style="1" customWidth="1"/>
    <col min="7182" max="7423" width="9.140625" style="1"/>
    <col min="7424" max="7424" width="20.28515625" style="1" customWidth="1"/>
    <col min="7425" max="7426" width="10.28515625" style="1" customWidth="1"/>
    <col min="7427" max="7427" width="9.5703125" style="1" customWidth="1"/>
    <col min="7428" max="7428" width="9.7109375" style="1" customWidth="1"/>
    <col min="7429" max="7430" width="9.85546875" style="1" customWidth="1"/>
    <col min="7431" max="7431" width="9.7109375" style="1" customWidth="1"/>
    <col min="7432" max="7432" width="12" style="1" bestFit="1" customWidth="1"/>
    <col min="7433" max="7433" width="10.28515625" style="1" customWidth="1"/>
    <col min="7434" max="7435" width="9.85546875" style="1" bestFit="1" customWidth="1"/>
    <col min="7436" max="7436" width="9.85546875" style="1" customWidth="1"/>
    <col min="7437" max="7437" width="11" style="1" customWidth="1"/>
    <col min="7438" max="7679" width="9.140625" style="1"/>
    <col min="7680" max="7680" width="20.28515625" style="1" customWidth="1"/>
    <col min="7681" max="7682" width="10.28515625" style="1" customWidth="1"/>
    <col min="7683" max="7683" width="9.5703125" style="1" customWidth="1"/>
    <col min="7684" max="7684" width="9.7109375" style="1" customWidth="1"/>
    <col min="7685" max="7686" width="9.85546875" style="1" customWidth="1"/>
    <col min="7687" max="7687" width="9.7109375" style="1" customWidth="1"/>
    <col min="7688" max="7688" width="12" style="1" bestFit="1" customWidth="1"/>
    <col min="7689" max="7689" width="10.28515625" style="1" customWidth="1"/>
    <col min="7690" max="7691" width="9.85546875" style="1" bestFit="1" customWidth="1"/>
    <col min="7692" max="7692" width="9.85546875" style="1" customWidth="1"/>
    <col min="7693" max="7693" width="11" style="1" customWidth="1"/>
    <col min="7694" max="7935" width="9.140625" style="1"/>
    <col min="7936" max="7936" width="20.28515625" style="1" customWidth="1"/>
    <col min="7937" max="7938" width="10.28515625" style="1" customWidth="1"/>
    <col min="7939" max="7939" width="9.5703125" style="1" customWidth="1"/>
    <col min="7940" max="7940" width="9.7109375" style="1" customWidth="1"/>
    <col min="7941" max="7942" width="9.85546875" style="1" customWidth="1"/>
    <col min="7943" max="7943" width="9.7109375" style="1" customWidth="1"/>
    <col min="7944" max="7944" width="12" style="1" bestFit="1" customWidth="1"/>
    <col min="7945" max="7945" width="10.28515625" style="1" customWidth="1"/>
    <col min="7946" max="7947" width="9.85546875" style="1" bestFit="1" customWidth="1"/>
    <col min="7948" max="7948" width="9.85546875" style="1" customWidth="1"/>
    <col min="7949" max="7949" width="11" style="1" customWidth="1"/>
    <col min="7950" max="8191" width="9.140625" style="1"/>
    <col min="8192" max="8192" width="20.28515625" style="1" customWidth="1"/>
    <col min="8193" max="8194" width="10.28515625" style="1" customWidth="1"/>
    <col min="8195" max="8195" width="9.5703125" style="1" customWidth="1"/>
    <col min="8196" max="8196" width="9.7109375" style="1" customWidth="1"/>
    <col min="8197" max="8198" width="9.85546875" style="1" customWidth="1"/>
    <col min="8199" max="8199" width="9.7109375" style="1" customWidth="1"/>
    <col min="8200" max="8200" width="12" style="1" bestFit="1" customWidth="1"/>
    <col min="8201" max="8201" width="10.28515625" style="1" customWidth="1"/>
    <col min="8202" max="8203" width="9.85546875" style="1" bestFit="1" customWidth="1"/>
    <col min="8204" max="8204" width="9.85546875" style="1" customWidth="1"/>
    <col min="8205" max="8205" width="11" style="1" customWidth="1"/>
    <col min="8206" max="8447" width="9.140625" style="1"/>
    <col min="8448" max="8448" width="20.28515625" style="1" customWidth="1"/>
    <col min="8449" max="8450" width="10.28515625" style="1" customWidth="1"/>
    <col min="8451" max="8451" width="9.5703125" style="1" customWidth="1"/>
    <col min="8452" max="8452" width="9.7109375" style="1" customWidth="1"/>
    <col min="8453" max="8454" width="9.85546875" style="1" customWidth="1"/>
    <col min="8455" max="8455" width="9.7109375" style="1" customWidth="1"/>
    <col min="8456" max="8456" width="12" style="1" bestFit="1" customWidth="1"/>
    <col min="8457" max="8457" width="10.28515625" style="1" customWidth="1"/>
    <col min="8458" max="8459" width="9.85546875" style="1" bestFit="1" customWidth="1"/>
    <col min="8460" max="8460" width="9.85546875" style="1" customWidth="1"/>
    <col min="8461" max="8461" width="11" style="1" customWidth="1"/>
    <col min="8462" max="8703" width="9.140625" style="1"/>
    <col min="8704" max="8704" width="20.28515625" style="1" customWidth="1"/>
    <col min="8705" max="8706" width="10.28515625" style="1" customWidth="1"/>
    <col min="8707" max="8707" width="9.5703125" style="1" customWidth="1"/>
    <col min="8708" max="8708" width="9.7109375" style="1" customWidth="1"/>
    <col min="8709" max="8710" width="9.85546875" style="1" customWidth="1"/>
    <col min="8711" max="8711" width="9.7109375" style="1" customWidth="1"/>
    <col min="8712" max="8712" width="12" style="1" bestFit="1" customWidth="1"/>
    <col min="8713" max="8713" width="10.28515625" style="1" customWidth="1"/>
    <col min="8714" max="8715" width="9.85546875" style="1" bestFit="1" customWidth="1"/>
    <col min="8716" max="8716" width="9.85546875" style="1" customWidth="1"/>
    <col min="8717" max="8717" width="11" style="1" customWidth="1"/>
    <col min="8718" max="8959" width="9.140625" style="1"/>
    <col min="8960" max="8960" width="20.28515625" style="1" customWidth="1"/>
    <col min="8961" max="8962" width="10.28515625" style="1" customWidth="1"/>
    <col min="8963" max="8963" width="9.5703125" style="1" customWidth="1"/>
    <col min="8964" max="8964" width="9.7109375" style="1" customWidth="1"/>
    <col min="8965" max="8966" width="9.85546875" style="1" customWidth="1"/>
    <col min="8967" max="8967" width="9.7109375" style="1" customWidth="1"/>
    <col min="8968" max="8968" width="12" style="1" bestFit="1" customWidth="1"/>
    <col min="8969" max="8969" width="10.28515625" style="1" customWidth="1"/>
    <col min="8970" max="8971" width="9.85546875" style="1" bestFit="1" customWidth="1"/>
    <col min="8972" max="8972" width="9.85546875" style="1" customWidth="1"/>
    <col min="8973" max="8973" width="11" style="1" customWidth="1"/>
    <col min="8974" max="9215" width="9.140625" style="1"/>
    <col min="9216" max="9216" width="20.28515625" style="1" customWidth="1"/>
    <col min="9217" max="9218" width="10.28515625" style="1" customWidth="1"/>
    <col min="9219" max="9219" width="9.5703125" style="1" customWidth="1"/>
    <col min="9220" max="9220" width="9.7109375" style="1" customWidth="1"/>
    <col min="9221" max="9222" width="9.85546875" style="1" customWidth="1"/>
    <col min="9223" max="9223" width="9.7109375" style="1" customWidth="1"/>
    <col min="9224" max="9224" width="12" style="1" bestFit="1" customWidth="1"/>
    <col min="9225" max="9225" width="10.28515625" style="1" customWidth="1"/>
    <col min="9226" max="9227" width="9.85546875" style="1" bestFit="1" customWidth="1"/>
    <col min="9228" max="9228" width="9.85546875" style="1" customWidth="1"/>
    <col min="9229" max="9229" width="11" style="1" customWidth="1"/>
    <col min="9230" max="9471" width="9.140625" style="1"/>
    <col min="9472" max="9472" width="20.28515625" style="1" customWidth="1"/>
    <col min="9473" max="9474" width="10.28515625" style="1" customWidth="1"/>
    <col min="9475" max="9475" width="9.5703125" style="1" customWidth="1"/>
    <col min="9476" max="9476" width="9.7109375" style="1" customWidth="1"/>
    <col min="9477" max="9478" width="9.85546875" style="1" customWidth="1"/>
    <col min="9479" max="9479" width="9.7109375" style="1" customWidth="1"/>
    <col min="9480" max="9480" width="12" style="1" bestFit="1" customWidth="1"/>
    <col min="9481" max="9481" width="10.28515625" style="1" customWidth="1"/>
    <col min="9482" max="9483" width="9.85546875" style="1" bestFit="1" customWidth="1"/>
    <col min="9484" max="9484" width="9.85546875" style="1" customWidth="1"/>
    <col min="9485" max="9485" width="11" style="1" customWidth="1"/>
    <col min="9486" max="9727" width="9.140625" style="1"/>
    <col min="9728" max="9728" width="20.28515625" style="1" customWidth="1"/>
    <col min="9729" max="9730" width="10.28515625" style="1" customWidth="1"/>
    <col min="9731" max="9731" width="9.5703125" style="1" customWidth="1"/>
    <col min="9732" max="9732" width="9.7109375" style="1" customWidth="1"/>
    <col min="9733" max="9734" width="9.85546875" style="1" customWidth="1"/>
    <col min="9735" max="9735" width="9.7109375" style="1" customWidth="1"/>
    <col min="9736" max="9736" width="12" style="1" bestFit="1" customWidth="1"/>
    <col min="9737" max="9737" width="10.28515625" style="1" customWidth="1"/>
    <col min="9738" max="9739" width="9.85546875" style="1" bestFit="1" customWidth="1"/>
    <col min="9740" max="9740" width="9.85546875" style="1" customWidth="1"/>
    <col min="9741" max="9741" width="11" style="1" customWidth="1"/>
    <col min="9742" max="9983" width="9.140625" style="1"/>
    <col min="9984" max="9984" width="20.28515625" style="1" customWidth="1"/>
    <col min="9985" max="9986" width="10.28515625" style="1" customWidth="1"/>
    <col min="9987" max="9987" width="9.5703125" style="1" customWidth="1"/>
    <col min="9988" max="9988" width="9.7109375" style="1" customWidth="1"/>
    <col min="9989" max="9990" width="9.85546875" style="1" customWidth="1"/>
    <col min="9991" max="9991" width="9.7109375" style="1" customWidth="1"/>
    <col min="9992" max="9992" width="12" style="1" bestFit="1" customWidth="1"/>
    <col min="9993" max="9993" width="10.28515625" style="1" customWidth="1"/>
    <col min="9994" max="9995" width="9.85546875" style="1" bestFit="1" customWidth="1"/>
    <col min="9996" max="9996" width="9.85546875" style="1" customWidth="1"/>
    <col min="9997" max="9997" width="11" style="1" customWidth="1"/>
    <col min="9998" max="10239" width="9.140625" style="1"/>
    <col min="10240" max="10240" width="20.28515625" style="1" customWidth="1"/>
    <col min="10241" max="10242" width="10.28515625" style="1" customWidth="1"/>
    <col min="10243" max="10243" width="9.5703125" style="1" customWidth="1"/>
    <col min="10244" max="10244" width="9.7109375" style="1" customWidth="1"/>
    <col min="10245" max="10246" width="9.85546875" style="1" customWidth="1"/>
    <col min="10247" max="10247" width="9.7109375" style="1" customWidth="1"/>
    <col min="10248" max="10248" width="12" style="1" bestFit="1" customWidth="1"/>
    <col min="10249" max="10249" width="10.28515625" style="1" customWidth="1"/>
    <col min="10250" max="10251" width="9.85546875" style="1" bestFit="1" customWidth="1"/>
    <col min="10252" max="10252" width="9.85546875" style="1" customWidth="1"/>
    <col min="10253" max="10253" width="11" style="1" customWidth="1"/>
    <col min="10254" max="10495" width="9.140625" style="1"/>
    <col min="10496" max="10496" width="20.28515625" style="1" customWidth="1"/>
    <col min="10497" max="10498" width="10.28515625" style="1" customWidth="1"/>
    <col min="10499" max="10499" width="9.5703125" style="1" customWidth="1"/>
    <col min="10500" max="10500" width="9.7109375" style="1" customWidth="1"/>
    <col min="10501" max="10502" width="9.85546875" style="1" customWidth="1"/>
    <col min="10503" max="10503" width="9.7109375" style="1" customWidth="1"/>
    <col min="10504" max="10504" width="12" style="1" bestFit="1" customWidth="1"/>
    <col min="10505" max="10505" width="10.28515625" style="1" customWidth="1"/>
    <col min="10506" max="10507" width="9.85546875" style="1" bestFit="1" customWidth="1"/>
    <col min="10508" max="10508" width="9.85546875" style="1" customWidth="1"/>
    <col min="10509" max="10509" width="11" style="1" customWidth="1"/>
    <col min="10510" max="10751" width="9.140625" style="1"/>
    <col min="10752" max="10752" width="20.28515625" style="1" customWidth="1"/>
    <col min="10753" max="10754" width="10.28515625" style="1" customWidth="1"/>
    <col min="10755" max="10755" width="9.5703125" style="1" customWidth="1"/>
    <col min="10756" max="10756" width="9.7109375" style="1" customWidth="1"/>
    <col min="10757" max="10758" width="9.85546875" style="1" customWidth="1"/>
    <col min="10759" max="10759" width="9.7109375" style="1" customWidth="1"/>
    <col min="10760" max="10760" width="12" style="1" bestFit="1" customWidth="1"/>
    <col min="10761" max="10761" width="10.28515625" style="1" customWidth="1"/>
    <col min="10762" max="10763" width="9.85546875" style="1" bestFit="1" customWidth="1"/>
    <col min="10764" max="10764" width="9.85546875" style="1" customWidth="1"/>
    <col min="10765" max="10765" width="11" style="1" customWidth="1"/>
    <col min="10766" max="11007" width="9.140625" style="1"/>
    <col min="11008" max="11008" width="20.28515625" style="1" customWidth="1"/>
    <col min="11009" max="11010" width="10.28515625" style="1" customWidth="1"/>
    <col min="11011" max="11011" width="9.5703125" style="1" customWidth="1"/>
    <col min="11012" max="11012" width="9.7109375" style="1" customWidth="1"/>
    <col min="11013" max="11014" width="9.85546875" style="1" customWidth="1"/>
    <col min="11015" max="11015" width="9.7109375" style="1" customWidth="1"/>
    <col min="11016" max="11016" width="12" style="1" bestFit="1" customWidth="1"/>
    <col min="11017" max="11017" width="10.28515625" style="1" customWidth="1"/>
    <col min="11018" max="11019" width="9.85546875" style="1" bestFit="1" customWidth="1"/>
    <col min="11020" max="11020" width="9.85546875" style="1" customWidth="1"/>
    <col min="11021" max="11021" width="11" style="1" customWidth="1"/>
    <col min="11022" max="11263" width="9.140625" style="1"/>
    <col min="11264" max="11264" width="20.28515625" style="1" customWidth="1"/>
    <col min="11265" max="11266" width="10.28515625" style="1" customWidth="1"/>
    <col min="11267" max="11267" width="9.5703125" style="1" customWidth="1"/>
    <col min="11268" max="11268" width="9.7109375" style="1" customWidth="1"/>
    <col min="11269" max="11270" width="9.85546875" style="1" customWidth="1"/>
    <col min="11271" max="11271" width="9.7109375" style="1" customWidth="1"/>
    <col min="11272" max="11272" width="12" style="1" bestFit="1" customWidth="1"/>
    <col min="11273" max="11273" width="10.28515625" style="1" customWidth="1"/>
    <col min="11274" max="11275" width="9.85546875" style="1" bestFit="1" customWidth="1"/>
    <col min="11276" max="11276" width="9.85546875" style="1" customWidth="1"/>
    <col min="11277" max="11277" width="11" style="1" customWidth="1"/>
    <col min="11278" max="11519" width="9.140625" style="1"/>
    <col min="11520" max="11520" width="20.28515625" style="1" customWidth="1"/>
    <col min="11521" max="11522" width="10.28515625" style="1" customWidth="1"/>
    <col min="11523" max="11523" width="9.5703125" style="1" customWidth="1"/>
    <col min="11524" max="11524" width="9.7109375" style="1" customWidth="1"/>
    <col min="11525" max="11526" width="9.85546875" style="1" customWidth="1"/>
    <col min="11527" max="11527" width="9.7109375" style="1" customWidth="1"/>
    <col min="11528" max="11528" width="12" style="1" bestFit="1" customWidth="1"/>
    <col min="11529" max="11529" width="10.28515625" style="1" customWidth="1"/>
    <col min="11530" max="11531" width="9.85546875" style="1" bestFit="1" customWidth="1"/>
    <col min="11532" max="11532" width="9.85546875" style="1" customWidth="1"/>
    <col min="11533" max="11533" width="11" style="1" customWidth="1"/>
    <col min="11534" max="11775" width="9.140625" style="1"/>
    <col min="11776" max="11776" width="20.28515625" style="1" customWidth="1"/>
    <col min="11777" max="11778" width="10.28515625" style="1" customWidth="1"/>
    <col min="11779" max="11779" width="9.5703125" style="1" customWidth="1"/>
    <col min="11780" max="11780" width="9.7109375" style="1" customWidth="1"/>
    <col min="11781" max="11782" width="9.85546875" style="1" customWidth="1"/>
    <col min="11783" max="11783" width="9.7109375" style="1" customWidth="1"/>
    <col min="11784" max="11784" width="12" style="1" bestFit="1" customWidth="1"/>
    <col min="11785" max="11785" width="10.28515625" style="1" customWidth="1"/>
    <col min="11786" max="11787" width="9.85546875" style="1" bestFit="1" customWidth="1"/>
    <col min="11788" max="11788" width="9.85546875" style="1" customWidth="1"/>
    <col min="11789" max="11789" width="11" style="1" customWidth="1"/>
    <col min="11790" max="12031" width="9.140625" style="1"/>
    <col min="12032" max="12032" width="20.28515625" style="1" customWidth="1"/>
    <col min="12033" max="12034" width="10.28515625" style="1" customWidth="1"/>
    <col min="12035" max="12035" width="9.5703125" style="1" customWidth="1"/>
    <col min="12036" max="12036" width="9.7109375" style="1" customWidth="1"/>
    <col min="12037" max="12038" width="9.85546875" style="1" customWidth="1"/>
    <col min="12039" max="12039" width="9.7109375" style="1" customWidth="1"/>
    <col min="12040" max="12040" width="12" style="1" bestFit="1" customWidth="1"/>
    <col min="12041" max="12041" width="10.28515625" style="1" customWidth="1"/>
    <col min="12042" max="12043" width="9.85546875" style="1" bestFit="1" customWidth="1"/>
    <col min="12044" max="12044" width="9.85546875" style="1" customWidth="1"/>
    <col min="12045" max="12045" width="11" style="1" customWidth="1"/>
    <col min="12046" max="12287" width="9.140625" style="1"/>
    <col min="12288" max="12288" width="20.28515625" style="1" customWidth="1"/>
    <col min="12289" max="12290" width="10.28515625" style="1" customWidth="1"/>
    <col min="12291" max="12291" width="9.5703125" style="1" customWidth="1"/>
    <col min="12292" max="12292" width="9.7109375" style="1" customWidth="1"/>
    <col min="12293" max="12294" width="9.85546875" style="1" customWidth="1"/>
    <col min="12295" max="12295" width="9.7109375" style="1" customWidth="1"/>
    <col min="12296" max="12296" width="12" style="1" bestFit="1" customWidth="1"/>
    <col min="12297" max="12297" width="10.28515625" style="1" customWidth="1"/>
    <col min="12298" max="12299" width="9.85546875" style="1" bestFit="1" customWidth="1"/>
    <col min="12300" max="12300" width="9.85546875" style="1" customWidth="1"/>
    <col min="12301" max="12301" width="11" style="1" customWidth="1"/>
    <col min="12302" max="12543" width="9.140625" style="1"/>
    <col min="12544" max="12544" width="20.28515625" style="1" customWidth="1"/>
    <col min="12545" max="12546" width="10.28515625" style="1" customWidth="1"/>
    <col min="12547" max="12547" width="9.5703125" style="1" customWidth="1"/>
    <col min="12548" max="12548" width="9.7109375" style="1" customWidth="1"/>
    <col min="12549" max="12550" width="9.85546875" style="1" customWidth="1"/>
    <col min="12551" max="12551" width="9.7109375" style="1" customWidth="1"/>
    <col min="12552" max="12552" width="12" style="1" bestFit="1" customWidth="1"/>
    <col min="12553" max="12553" width="10.28515625" style="1" customWidth="1"/>
    <col min="12554" max="12555" width="9.85546875" style="1" bestFit="1" customWidth="1"/>
    <col min="12556" max="12556" width="9.85546875" style="1" customWidth="1"/>
    <col min="12557" max="12557" width="11" style="1" customWidth="1"/>
    <col min="12558" max="12799" width="9.140625" style="1"/>
    <col min="12800" max="12800" width="20.28515625" style="1" customWidth="1"/>
    <col min="12801" max="12802" width="10.28515625" style="1" customWidth="1"/>
    <col min="12803" max="12803" width="9.5703125" style="1" customWidth="1"/>
    <col min="12804" max="12804" width="9.7109375" style="1" customWidth="1"/>
    <col min="12805" max="12806" width="9.85546875" style="1" customWidth="1"/>
    <col min="12807" max="12807" width="9.7109375" style="1" customWidth="1"/>
    <col min="12808" max="12808" width="12" style="1" bestFit="1" customWidth="1"/>
    <col min="12809" max="12809" width="10.28515625" style="1" customWidth="1"/>
    <col min="12810" max="12811" width="9.85546875" style="1" bestFit="1" customWidth="1"/>
    <col min="12812" max="12812" width="9.85546875" style="1" customWidth="1"/>
    <col min="12813" max="12813" width="11" style="1" customWidth="1"/>
    <col min="12814" max="13055" width="9.140625" style="1"/>
    <col min="13056" max="13056" width="20.28515625" style="1" customWidth="1"/>
    <col min="13057" max="13058" width="10.28515625" style="1" customWidth="1"/>
    <col min="13059" max="13059" width="9.5703125" style="1" customWidth="1"/>
    <col min="13060" max="13060" width="9.7109375" style="1" customWidth="1"/>
    <col min="13061" max="13062" width="9.85546875" style="1" customWidth="1"/>
    <col min="13063" max="13063" width="9.7109375" style="1" customWidth="1"/>
    <col min="13064" max="13064" width="12" style="1" bestFit="1" customWidth="1"/>
    <col min="13065" max="13065" width="10.28515625" style="1" customWidth="1"/>
    <col min="13066" max="13067" width="9.85546875" style="1" bestFit="1" customWidth="1"/>
    <col min="13068" max="13068" width="9.85546875" style="1" customWidth="1"/>
    <col min="13069" max="13069" width="11" style="1" customWidth="1"/>
    <col min="13070" max="13311" width="9.140625" style="1"/>
    <col min="13312" max="13312" width="20.28515625" style="1" customWidth="1"/>
    <col min="13313" max="13314" width="10.28515625" style="1" customWidth="1"/>
    <col min="13315" max="13315" width="9.5703125" style="1" customWidth="1"/>
    <col min="13316" max="13316" width="9.7109375" style="1" customWidth="1"/>
    <col min="13317" max="13318" width="9.85546875" style="1" customWidth="1"/>
    <col min="13319" max="13319" width="9.7109375" style="1" customWidth="1"/>
    <col min="13320" max="13320" width="12" style="1" bestFit="1" customWidth="1"/>
    <col min="13321" max="13321" width="10.28515625" style="1" customWidth="1"/>
    <col min="13322" max="13323" width="9.85546875" style="1" bestFit="1" customWidth="1"/>
    <col min="13324" max="13324" width="9.85546875" style="1" customWidth="1"/>
    <col min="13325" max="13325" width="11" style="1" customWidth="1"/>
    <col min="13326" max="13567" width="9.140625" style="1"/>
    <col min="13568" max="13568" width="20.28515625" style="1" customWidth="1"/>
    <col min="13569" max="13570" width="10.28515625" style="1" customWidth="1"/>
    <col min="13571" max="13571" width="9.5703125" style="1" customWidth="1"/>
    <col min="13572" max="13572" width="9.7109375" style="1" customWidth="1"/>
    <col min="13573" max="13574" width="9.85546875" style="1" customWidth="1"/>
    <col min="13575" max="13575" width="9.7109375" style="1" customWidth="1"/>
    <col min="13576" max="13576" width="12" style="1" bestFit="1" customWidth="1"/>
    <col min="13577" max="13577" width="10.28515625" style="1" customWidth="1"/>
    <col min="13578" max="13579" width="9.85546875" style="1" bestFit="1" customWidth="1"/>
    <col min="13580" max="13580" width="9.85546875" style="1" customWidth="1"/>
    <col min="13581" max="13581" width="11" style="1" customWidth="1"/>
    <col min="13582" max="13823" width="9.140625" style="1"/>
    <col min="13824" max="13824" width="20.28515625" style="1" customWidth="1"/>
    <col min="13825" max="13826" width="10.28515625" style="1" customWidth="1"/>
    <col min="13827" max="13827" width="9.5703125" style="1" customWidth="1"/>
    <col min="13828" max="13828" width="9.7109375" style="1" customWidth="1"/>
    <col min="13829" max="13830" width="9.85546875" style="1" customWidth="1"/>
    <col min="13831" max="13831" width="9.7109375" style="1" customWidth="1"/>
    <col min="13832" max="13832" width="12" style="1" bestFit="1" customWidth="1"/>
    <col min="13833" max="13833" width="10.28515625" style="1" customWidth="1"/>
    <col min="13834" max="13835" width="9.85546875" style="1" bestFit="1" customWidth="1"/>
    <col min="13836" max="13836" width="9.85546875" style="1" customWidth="1"/>
    <col min="13837" max="13837" width="11" style="1" customWidth="1"/>
    <col min="13838" max="14079" width="9.140625" style="1"/>
    <col min="14080" max="14080" width="20.28515625" style="1" customWidth="1"/>
    <col min="14081" max="14082" width="10.28515625" style="1" customWidth="1"/>
    <col min="14083" max="14083" width="9.5703125" style="1" customWidth="1"/>
    <col min="14084" max="14084" width="9.7109375" style="1" customWidth="1"/>
    <col min="14085" max="14086" width="9.85546875" style="1" customWidth="1"/>
    <col min="14087" max="14087" width="9.7109375" style="1" customWidth="1"/>
    <col min="14088" max="14088" width="12" style="1" bestFit="1" customWidth="1"/>
    <col min="14089" max="14089" width="10.28515625" style="1" customWidth="1"/>
    <col min="14090" max="14091" width="9.85546875" style="1" bestFit="1" customWidth="1"/>
    <col min="14092" max="14092" width="9.85546875" style="1" customWidth="1"/>
    <col min="14093" max="14093" width="11" style="1" customWidth="1"/>
    <col min="14094" max="14335" width="9.140625" style="1"/>
    <col min="14336" max="14336" width="20.28515625" style="1" customWidth="1"/>
    <col min="14337" max="14338" width="10.28515625" style="1" customWidth="1"/>
    <col min="14339" max="14339" width="9.5703125" style="1" customWidth="1"/>
    <col min="14340" max="14340" width="9.7109375" style="1" customWidth="1"/>
    <col min="14341" max="14342" width="9.85546875" style="1" customWidth="1"/>
    <col min="14343" max="14343" width="9.7109375" style="1" customWidth="1"/>
    <col min="14344" max="14344" width="12" style="1" bestFit="1" customWidth="1"/>
    <col min="14345" max="14345" width="10.28515625" style="1" customWidth="1"/>
    <col min="14346" max="14347" width="9.85546875" style="1" bestFit="1" customWidth="1"/>
    <col min="14348" max="14348" width="9.85546875" style="1" customWidth="1"/>
    <col min="14349" max="14349" width="11" style="1" customWidth="1"/>
    <col min="14350" max="14591" width="9.140625" style="1"/>
    <col min="14592" max="14592" width="20.28515625" style="1" customWidth="1"/>
    <col min="14593" max="14594" width="10.28515625" style="1" customWidth="1"/>
    <col min="14595" max="14595" width="9.5703125" style="1" customWidth="1"/>
    <col min="14596" max="14596" width="9.7109375" style="1" customWidth="1"/>
    <col min="14597" max="14598" width="9.85546875" style="1" customWidth="1"/>
    <col min="14599" max="14599" width="9.7109375" style="1" customWidth="1"/>
    <col min="14600" max="14600" width="12" style="1" bestFit="1" customWidth="1"/>
    <col min="14601" max="14601" width="10.28515625" style="1" customWidth="1"/>
    <col min="14602" max="14603" width="9.85546875" style="1" bestFit="1" customWidth="1"/>
    <col min="14604" max="14604" width="9.85546875" style="1" customWidth="1"/>
    <col min="14605" max="14605" width="11" style="1" customWidth="1"/>
    <col min="14606" max="14847" width="9.140625" style="1"/>
    <col min="14848" max="14848" width="20.28515625" style="1" customWidth="1"/>
    <col min="14849" max="14850" width="10.28515625" style="1" customWidth="1"/>
    <col min="14851" max="14851" width="9.5703125" style="1" customWidth="1"/>
    <col min="14852" max="14852" width="9.7109375" style="1" customWidth="1"/>
    <col min="14853" max="14854" width="9.85546875" style="1" customWidth="1"/>
    <col min="14855" max="14855" width="9.7109375" style="1" customWidth="1"/>
    <col min="14856" max="14856" width="12" style="1" bestFit="1" customWidth="1"/>
    <col min="14857" max="14857" width="10.28515625" style="1" customWidth="1"/>
    <col min="14858" max="14859" width="9.85546875" style="1" bestFit="1" customWidth="1"/>
    <col min="14860" max="14860" width="9.85546875" style="1" customWidth="1"/>
    <col min="14861" max="14861" width="11" style="1" customWidth="1"/>
    <col min="14862" max="15103" width="9.140625" style="1"/>
    <col min="15104" max="15104" width="20.28515625" style="1" customWidth="1"/>
    <col min="15105" max="15106" width="10.28515625" style="1" customWidth="1"/>
    <col min="15107" max="15107" width="9.5703125" style="1" customWidth="1"/>
    <col min="15108" max="15108" width="9.7109375" style="1" customWidth="1"/>
    <col min="15109" max="15110" width="9.85546875" style="1" customWidth="1"/>
    <col min="15111" max="15111" width="9.7109375" style="1" customWidth="1"/>
    <col min="15112" max="15112" width="12" style="1" bestFit="1" customWidth="1"/>
    <col min="15113" max="15113" width="10.28515625" style="1" customWidth="1"/>
    <col min="15114" max="15115" width="9.85546875" style="1" bestFit="1" customWidth="1"/>
    <col min="15116" max="15116" width="9.85546875" style="1" customWidth="1"/>
    <col min="15117" max="15117" width="11" style="1" customWidth="1"/>
    <col min="15118" max="15359" width="9.140625" style="1"/>
    <col min="15360" max="15360" width="20.28515625" style="1" customWidth="1"/>
    <col min="15361" max="15362" width="10.28515625" style="1" customWidth="1"/>
    <col min="15363" max="15363" width="9.5703125" style="1" customWidth="1"/>
    <col min="15364" max="15364" width="9.7109375" style="1" customWidth="1"/>
    <col min="15365" max="15366" width="9.85546875" style="1" customWidth="1"/>
    <col min="15367" max="15367" width="9.7109375" style="1" customWidth="1"/>
    <col min="15368" max="15368" width="12" style="1" bestFit="1" customWidth="1"/>
    <col min="15369" max="15369" width="10.28515625" style="1" customWidth="1"/>
    <col min="15370" max="15371" width="9.85546875" style="1" bestFit="1" customWidth="1"/>
    <col min="15372" max="15372" width="9.85546875" style="1" customWidth="1"/>
    <col min="15373" max="15373" width="11" style="1" customWidth="1"/>
    <col min="15374" max="15615" width="9.140625" style="1"/>
    <col min="15616" max="15616" width="20.28515625" style="1" customWidth="1"/>
    <col min="15617" max="15618" width="10.28515625" style="1" customWidth="1"/>
    <col min="15619" max="15619" width="9.5703125" style="1" customWidth="1"/>
    <col min="15620" max="15620" width="9.7109375" style="1" customWidth="1"/>
    <col min="15621" max="15622" width="9.85546875" style="1" customWidth="1"/>
    <col min="15623" max="15623" width="9.7109375" style="1" customWidth="1"/>
    <col min="15624" max="15624" width="12" style="1" bestFit="1" customWidth="1"/>
    <col min="15625" max="15625" width="10.28515625" style="1" customWidth="1"/>
    <col min="15626" max="15627" width="9.85546875" style="1" bestFit="1" customWidth="1"/>
    <col min="15628" max="15628" width="9.85546875" style="1" customWidth="1"/>
    <col min="15629" max="15629" width="11" style="1" customWidth="1"/>
    <col min="15630" max="15871" width="9.140625" style="1"/>
    <col min="15872" max="15872" width="20.28515625" style="1" customWidth="1"/>
    <col min="15873" max="15874" width="10.28515625" style="1" customWidth="1"/>
    <col min="15875" max="15875" width="9.5703125" style="1" customWidth="1"/>
    <col min="15876" max="15876" width="9.7109375" style="1" customWidth="1"/>
    <col min="15877" max="15878" width="9.85546875" style="1" customWidth="1"/>
    <col min="15879" max="15879" width="9.7109375" style="1" customWidth="1"/>
    <col min="15880" max="15880" width="12" style="1" bestFit="1" customWidth="1"/>
    <col min="15881" max="15881" width="10.28515625" style="1" customWidth="1"/>
    <col min="15882" max="15883" width="9.85546875" style="1" bestFit="1" customWidth="1"/>
    <col min="15884" max="15884" width="9.85546875" style="1" customWidth="1"/>
    <col min="15885" max="15885" width="11" style="1" customWidth="1"/>
    <col min="15886" max="16127" width="9.140625" style="1"/>
    <col min="16128" max="16128" width="20.28515625" style="1" customWidth="1"/>
    <col min="16129" max="16130" width="10.28515625" style="1" customWidth="1"/>
    <col min="16131" max="16131" width="9.5703125" style="1" customWidth="1"/>
    <col min="16132" max="16132" width="9.7109375" style="1" customWidth="1"/>
    <col min="16133" max="16134" width="9.85546875" style="1" customWidth="1"/>
    <col min="16135" max="16135" width="9.7109375" style="1" customWidth="1"/>
    <col min="16136" max="16136" width="12" style="1" bestFit="1" customWidth="1"/>
    <col min="16137" max="16137" width="10.28515625" style="1" customWidth="1"/>
    <col min="16138" max="16139" width="9.85546875" style="1" bestFit="1" customWidth="1"/>
    <col min="16140" max="16140" width="9.85546875" style="1" customWidth="1"/>
    <col min="16141" max="16141" width="11" style="1" customWidth="1"/>
    <col min="16142" max="16384" width="9.140625" style="1"/>
  </cols>
  <sheetData>
    <row r="1" spans="1:13" ht="18" customHeight="1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6.5" thickBot="1">
      <c r="A2" s="42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>
      <c r="A3" s="7" t="s">
        <v>0</v>
      </c>
      <c r="B3" s="8">
        <v>43831</v>
      </c>
      <c r="C3" s="8">
        <v>43862</v>
      </c>
      <c r="D3" s="8">
        <v>43891</v>
      </c>
      <c r="E3" s="8">
        <v>43922</v>
      </c>
      <c r="F3" s="8">
        <v>43952</v>
      </c>
      <c r="G3" s="8">
        <v>43983</v>
      </c>
      <c r="H3" s="8">
        <v>44013</v>
      </c>
      <c r="I3" s="8">
        <v>44044</v>
      </c>
      <c r="J3" s="8">
        <v>44075</v>
      </c>
      <c r="K3" s="8">
        <v>44105</v>
      </c>
      <c r="L3" s="8">
        <v>44136</v>
      </c>
      <c r="M3" s="8">
        <v>44166</v>
      </c>
    </row>
    <row r="4" spans="1:13">
      <c r="A4" s="2" t="s">
        <v>2</v>
      </c>
      <c r="B4" s="23">
        <v>41495.65</v>
      </c>
      <c r="C4" s="23">
        <f>71119.13+703.88</f>
        <v>71823.010000000009</v>
      </c>
      <c r="D4" s="23">
        <f>74676+703.88</f>
        <v>75379.88</v>
      </c>
      <c r="E4" s="23">
        <f>101300.5+790.62</f>
        <v>102091.12</v>
      </c>
      <c r="F4" s="23">
        <f>101085.6+790.62</f>
        <v>101876.22</v>
      </c>
      <c r="G4" s="23">
        <f>100702.35+790.62</f>
        <v>101492.97</v>
      </c>
      <c r="H4" s="23">
        <v>101296.93</v>
      </c>
      <c r="I4" s="23">
        <v>100827</v>
      </c>
      <c r="J4" s="23">
        <f>99635.13+790.62</f>
        <v>100425.75</v>
      </c>
      <c r="K4" s="23">
        <f>100141.17+790.62</f>
        <v>100931.79</v>
      </c>
      <c r="L4" s="10">
        <f>100338.16+790.62</f>
        <v>101128.78</v>
      </c>
      <c r="M4" s="14">
        <f>310107.8+3018.72</f>
        <v>313126.51999999996</v>
      </c>
    </row>
    <row r="5" spans="1:13">
      <c r="A5" s="2" t="s">
        <v>3</v>
      </c>
      <c r="B5" s="23">
        <f>430.79+64025.45</f>
        <v>64456.24</v>
      </c>
      <c r="C5" s="23">
        <f>399.08+124708.19</f>
        <v>125107.27</v>
      </c>
      <c r="D5" s="23">
        <f>131355.73+199.54</f>
        <v>131555.27000000002</v>
      </c>
      <c r="E5" s="23">
        <f>214.37+140277.31</f>
        <v>140491.68</v>
      </c>
      <c r="F5" s="23">
        <f>208.94+139894.11</f>
        <v>140103.04999999999</v>
      </c>
      <c r="G5" s="23">
        <f>208.94+139407.5</f>
        <v>139616.44</v>
      </c>
      <c r="H5" s="23">
        <v>139344.68</v>
      </c>
      <c r="I5" s="23">
        <v>138693</v>
      </c>
      <c r="J5" s="23">
        <f>208.94+138178.62</f>
        <v>138387.56</v>
      </c>
      <c r="K5" s="23">
        <f>208.94+138629.48</f>
        <v>138838.42000000001</v>
      </c>
      <c r="L5" s="10">
        <f>208.94+138902.61</f>
        <v>139111.54999999999</v>
      </c>
      <c r="M5" s="14">
        <f>626.82+429315.04</f>
        <v>429941.86</v>
      </c>
    </row>
    <row r="6" spans="1:13">
      <c r="A6" s="2" t="s">
        <v>4</v>
      </c>
      <c r="B6" s="23">
        <v>45088.08</v>
      </c>
      <c r="C6" s="23">
        <v>50258.559999999998</v>
      </c>
      <c r="D6" s="23">
        <v>50503.19</v>
      </c>
      <c r="E6" s="23">
        <v>50749.02</v>
      </c>
      <c r="F6" s="23">
        <v>50996.04</v>
      </c>
      <c r="G6" s="23">
        <v>51244.27</v>
      </c>
      <c r="H6" s="23">
        <v>51493.7</v>
      </c>
      <c r="I6" s="23">
        <v>51744</v>
      </c>
      <c r="J6" s="23">
        <v>51996.22</v>
      </c>
      <c r="K6" s="23">
        <f>52249.31</f>
        <v>52249.31</v>
      </c>
      <c r="L6" s="10">
        <f>52197.25</f>
        <v>52197.25</v>
      </c>
      <c r="M6" s="14">
        <f>105155.18</f>
        <v>105155.18</v>
      </c>
    </row>
    <row r="7" spans="1:13">
      <c r="A7" s="2" t="s">
        <v>5</v>
      </c>
      <c r="B7" s="23">
        <f>1492.62+343.48</f>
        <v>1836.1</v>
      </c>
      <c r="C7" s="23">
        <v>1865.33</v>
      </c>
      <c r="D7" s="23">
        <f>1492.62+384.83</f>
        <v>1877.4499999999998</v>
      </c>
      <c r="E7" s="23">
        <v>1890.46</v>
      </c>
      <c r="F7" s="23">
        <f>1492.62+407.26</f>
        <v>1899.8799999999999</v>
      </c>
      <c r="G7" s="23">
        <f>1492.62+409.6</f>
        <v>1902.2199999999998</v>
      </c>
      <c r="H7" s="23">
        <f>1492.62+410.49</f>
        <v>1903.11</v>
      </c>
      <c r="I7" s="23">
        <v>1916</v>
      </c>
      <c r="J7" s="23">
        <f>1492.62+438.77</f>
        <v>1931.3899999999999</v>
      </c>
      <c r="K7" s="23">
        <f>1492.62+451.75</f>
        <v>1944.37</v>
      </c>
      <c r="L7" s="10">
        <f>1492.62+494.46</f>
        <v>1987.08</v>
      </c>
      <c r="M7" s="10">
        <f>2985.24+1003.86</f>
        <v>3989.1</v>
      </c>
    </row>
    <row r="8" spans="1:13">
      <c r="A8" s="2" t="s">
        <v>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 t="s">
        <v>36</v>
      </c>
      <c r="I8" s="25" t="s">
        <v>36</v>
      </c>
      <c r="J8" s="23" t="s">
        <v>36</v>
      </c>
      <c r="K8" s="23" t="s">
        <v>36</v>
      </c>
      <c r="L8" s="10"/>
      <c r="M8" s="10">
        <v>8632.57</v>
      </c>
    </row>
    <row r="9" spans="1:13">
      <c r="A9" s="2" t="s">
        <v>7</v>
      </c>
      <c r="B9" s="23">
        <f>113884.38-25010.9</f>
        <v>88873.48000000001</v>
      </c>
      <c r="C9" s="23">
        <v>-240449.41</v>
      </c>
      <c r="D9" s="23">
        <v>-1300592.8700000001</v>
      </c>
      <c r="E9" s="23">
        <v>326644.77</v>
      </c>
      <c r="F9" s="23">
        <v>523980</v>
      </c>
      <c r="G9" s="23">
        <v>525672.77</v>
      </c>
      <c r="H9" s="23">
        <f>665344.11</f>
        <v>665344.11</v>
      </c>
      <c r="I9" s="23">
        <v>-107765</v>
      </c>
      <c r="J9" s="23">
        <v>-274747.89</v>
      </c>
      <c r="K9" s="23">
        <v>-794.78</v>
      </c>
      <c r="L9" s="10">
        <f>624936.6</f>
        <v>624936.6</v>
      </c>
      <c r="M9" s="10">
        <v>676455.33</v>
      </c>
    </row>
    <row r="10" spans="1:13">
      <c r="A10" s="2" t="s">
        <v>8</v>
      </c>
      <c r="B10" s="26">
        <v>4542.96</v>
      </c>
      <c r="C10" s="26">
        <v>4746.43</v>
      </c>
      <c r="D10" s="26">
        <v>4746.43</v>
      </c>
      <c r="E10" s="26">
        <v>4746.43</v>
      </c>
      <c r="F10" s="26">
        <v>4746.43</v>
      </c>
      <c r="G10" s="26">
        <v>4746.43</v>
      </c>
      <c r="H10" s="23">
        <v>4746.43</v>
      </c>
      <c r="I10" s="23">
        <v>4746</v>
      </c>
      <c r="J10" s="23">
        <v>4746.43</v>
      </c>
      <c r="K10" s="23">
        <f>4746.43</f>
        <v>4746.43</v>
      </c>
      <c r="L10" s="10">
        <v>4746.43</v>
      </c>
      <c r="M10" s="10">
        <v>9492.86</v>
      </c>
    </row>
    <row r="11" spans="1:13">
      <c r="A11" s="3" t="s">
        <v>9</v>
      </c>
      <c r="B11" s="27">
        <f t="shared" ref="B11:M11" si="0">SUM(B4:B10)</f>
        <v>246292.51</v>
      </c>
      <c r="C11" s="27">
        <f t="shared" si="0"/>
        <v>13351.19000000001</v>
      </c>
      <c r="D11" s="27">
        <f t="shared" si="0"/>
        <v>-1036530.65</v>
      </c>
      <c r="E11" s="27">
        <f t="shared" si="0"/>
        <v>626613.4800000001</v>
      </c>
      <c r="F11" s="27">
        <f t="shared" si="0"/>
        <v>823601.62</v>
      </c>
      <c r="G11" s="27">
        <f t="shared" si="0"/>
        <v>824675.1</v>
      </c>
      <c r="H11" s="27">
        <f t="shared" si="0"/>
        <v>964128.96000000008</v>
      </c>
      <c r="I11" s="27">
        <f>SUM(I4:I10)</f>
        <v>190161</v>
      </c>
      <c r="J11" s="27">
        <f t="shared" si="0"/>
        <v>22739.460000000028</v>
      </c>
      <c r="K11" s="13">
        <f t="shared" si="0"/>
        <v>297915.53999999998</v>
      </c>
      <c r="L11" s="13">
        <f t="shared" si="0"/>
        <v>924107.69000000006</v>
      </c>
      <c r="M11" s="13">
        <f t="shared" si="0"/>
        <v>1546793.4199999997</v>
      </c>
    </row>
    <row r="12" spans="1:13">
      <c r="A12" s="2" t="s">
        <v>10</v>
      </c>
      <c r="B12" s="23">
        <v>0</v>
      </c>
      <c r="C12" s="23">
        <v>25970.71</v>
      </c>
      <c r="D12" s="23">
        <v>25996.49</v>
      </c>
      <c r="E12" s="23">
        <v>53580.02</v>
      </c>
      <c r="F12" s="23">
        <v>0</v>
      </c>
      <c r="G12" s="23">
        <v>53580</v>
      </c>
      <c r="H12" s="23">
        <v>26790.01</v>
      </c>
      <c r="I12" s="23" t="s">
        <v>36</v>
      </c>
      <c r="J12" s="23">
        <v>53580.02</v>
      </c>
      <c r="K12" s="10">
        <f>26790.01</f>
        <v>26790.01</v>
      </c>
      <c r="L12" s="10">
        <v>0</v>
      </c>
      <c r="M12" s="10">
        <v>80370.03</v>
      </c>
    </row>
    <row r="13" spans="1:13">
      <c r="A13" s="2" t="s">
        <v>11</v>
      </c>
      <c r="B13" s="23">
        <v>0</v>
      </c>
      <c r="C13" s="23">
        <f>54784.55-25970.71</f>
        <v>28813.840000000004</v>
      </c>
      <c r="D13" s="23">
        <f>55191.06-25996.49</f>
        <v>29194.569999999996</v>
      </c>
      <c r="E13" s="23">
        <f>83000.38-53580.02</f>
        <v>29420.360000000008</v>
      </c>
      <c r="F13" s="23">
        <v>29308.71</v>
      </c>
      <c r="G13" s="23">
        <f>96350-G12</f>
        <v>42770</v>
      </c>
      <c r="H13" s="24">
        <v>31512.28</v>
      </c>
      <c r="I13" s="24">
        <v>30464</v>
      </c>
      <c r="J13" s="23">
        <f>J14-J12</f>
        <v>32253.18</v>
      </c>
      <c r="K13" s="10">
        <f>K14-K12</f>
        <v>34233.69</v>
      </c>
      <c r="L13" s="10">
        <f>L14-L12</f>
        <v>32923.199999999997</v>
      </c>
      <c r="M13" s="18">
        <v>76264.31</v>
      </c>
    </row>
    <row r="14" spans="1:13">
      <c r="A14" s="3" t="s">
        <v>12</v>
      </c>
      <c r="B14" s="29">
        <f>B12+B13</f>
        <v>0</v>
      </c>
      <c r="C14" s="29">
        <f t="shared" ref="C14:G14" si="1">C12+C13</f>
        <v>54784.55</v>
      </c>
      <c r="D14" s="29">
        <f t="shared" si="1"/>
        <v>55191.06</v>
      </c>
      <c r="E14" s="29">
        <f t="shared" si="1"/>
        <v>83000.38</v>
      </c>
      <c r="F14" s="29">
        <f t="shared" si="1"/>
        <v>29308.71</v>
      </c>
      <c r="G14" s="29">
        <f t="shared" si="1"/>
        <v>96350</v>
      </c>
      <c r="H14" s="29">
        <f>H12+H13</f>
        <v>58302.289999999994</v>
      </c>
      <c r="I14" s="29">
        <v>30464</v>
      </c>
      <c r="J14" s="29">
        <v>85833.2</v>
      </c>
      <c r="K14" s="15">
        <v>61023.7</v>
      </c>
      <c r="L14" s="15">
        <v>32923.199999999997</v>
      </c>
      <c r="M14" s="15">
        <v>156634.34</v>
      </c>
    </row>
    <row r="15" spans="1:13">
      <c r="A15" s="3" t="s">
        <v>13</v>
      </c>
      <c r="B15" s="27">
        <f>B11+B14</f>
        <v>246292.51</v>
      </c>
      <c r="C15" s="27">
        <f t="shared" ref="C15:M15" si="2">C11+C14</f>
        <v>68135.74000000002</v>
      </c>
      <c r="D15" s="27">
        <f t="shared" si="2"/>
        <v>-981339.59000000008</v>
      </c>
      <c r="E15" s="27">
        <f t="shared" si="2"/>
        <v>709613.8600000001</v>
      </c>
      <c r="F15" s="27">
        <f t="shared" si="2"/>
        <v>852910.33</v>
      </c>
      <c r="G15" s="27">
        <f>G11+G14</f>
        <v>921025.1</v>
      </c>
      <c r="H15" s="27">
        <f>H11+H14</f>
        <v>1022431.2500000001</v>
      </c>
      <c r="I15" s="27">
        <f>I11+I14</f>
        <v>220625</v>
      </c>
      <c r="J15" s="27">
        <f t="shared" si="2"/>
        <v>108572.66000000003</v>
      </c>
      <c r="K15" s="13">
        <f t="shared" si="2"/>
        <v>358939.24</v>
      </c>
      <c r="L15" s="13">
        <f t="shared" si="2"/>
        <v>957030.89</v>
      </c>
      <c r="M15" s="13">
        <f t="shared" si="2"/>
        <v>1703427.7599999998</v>
      </c>
    </row>
    <row r="16" spans="1:13">
      <c r="A16" s="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6">
      <c r="A17" s="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6">
      <c r="A18" s="2" t="s">
        <v>15</v>
      </c>
      <c r="B18" s="23">
        <v>0</v>
      </c>
      <c r="C18" s="25">
        <v>25970.71</v>
      </c>
      <c r="D18" s="23">
        <v>25996.49</v>
      </c>
      <c r="E18" s="23">
        <v>26790.01</v>
      </c>
      <c r="F18" s="23">
        <v>26790.01</v>
      </c>
      <c r="G18" s="23">
        <f>20207.19+6582.82</f>
        <v>26790.01</v>
      </c>
      <c r="H18" s="23">
        <f>6582.82+20207.19</f>
        <v>26790.01</v>
      </c>
      <c r="I18" s="23">
        <v>26790</v>
      </c>
      <c r="J18" s="23">
        <f>20207.19+6582.82</f>
        <v>26790.01</v>
      </c>
      <c r="K18" s="23">
        <f>20207.19+6582.82</f>
        <v>26790.01</v>
      </c>
      <c r="L18" s="23">
        <f>6582.82+20207.19</f>
        <v>26790.01</v>
      </c>
      <c r="M18" s="10">
        <f>60621.57+19748.46</f>
        <v>80370.03</v>
      </c>
    </row>
    <row r="19" spans="1:16">
      <c r="A19" s="2" t="s">
        <v>16</v>
      </c>
      <c r="B19" s="23">
        <v>0</v>
      </c>
      <c r="C19" s="23">
        <v>142470.38</v>
      </c>
      <c r="D19" s="23">
        <v>143570.01</v>
      </c>
      <c r="E19" s="23">
        <v>151732.31</v>
      </c>
      <c r="F19" s="23">
        <v>151836.81</v>
      </c>
      <c r="G19" s="23">
        <f>234111.55</f>
        <v>234111.55</v>
      </c>
      <c r="H19" s="23">
        <f>168281.29</f>
        <v>168281.29</v>
      </c>
      <c r="I19" s="23">
        <v>169326</v>
      </c>
      <c r="J19" s="23">
        <f>169326.29</f>
        <v>169326.29</v>
      </c>
      <c r="K19" s="23">
        <f>169260.94</f>
        <v>169260.94</v>
      </c>
      <c r="L19" s="23">
        <v>167592.20000000001</v>
      </c>
      <c r="M19" s="10">
        <f>499023.26</f>
        <v>499023.26</v>
      </c>
      <c r="N19" s="5"/>
    </row>
    <row r="20" spans="1:16">
      <c r="A20" s="2" t="s">
        <v>17</v>
      </c>
      <c r="B20" s="23">
        <v>0</v>
      </c>
      <c r="C20" s="23">
        <v>17610.12</v>
      </c>
      <c r="D20" s="23">
        <v>17612.41</v>
      </c>
      <c r="E20" s="23">
        <v>17752.79</v>
      </c>
      <c r="F20" s="23">
        <v>17752.79</v>
      </c>
      <c r="G20" s="23">
        <v>17752.79</v>
      </c>
      <c r="H20" s="23">
        <f>17752.79</f>
        <v>17752.79</v>
      </c>
      <c r="I20" s="23">
        <v>17753</v>
      </c>
      <c r="J20" s="23">
        <f>17752.79</f>
        <v>17752.79</v>
      </c>
      <c r="K20" s="23">
        <f>19125.15</f>
        <v>19125.150000000001</v>
      </c>
      <c r="L20" s="23">
        <f>19713.3</f>
        <v>19713.3</v>
      </c>
      <c r="M20" s="10">
        <f>57832.89</f>
        <v>57832.89</v>
      </c>
      <c r="P20" s="5"/>
    </row>
    <row r="21" spans="1:16">
      <c r="A21" s="2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 t="s">
        <v>36</v>
      </c>
      <c r="I21" s="23" t="s">
        <v>36</v>
      </c>
      <c r="J21" s="23" t="s">
        <v>36</v>
      </c>
      <c r="K21" s="23" t="s">
        <v>36</v>
      </c>
      <c r="L21" s="23" t="s">
        <v>36</v>
      </c>
      <c r="M21" s="10" t="s">
        <v>36</v>
      </c>
    </row>
    <row r="22" spans="1:16">
      <c r="A22" s="2" t="s">
        <v>19</v>
      </c>
      <c r="B22" s="23">
        <v>1337.1</v>
      </c>
      <c r="C22" s="23">
        <v>14693.32</v>
      </c>
      <c r="D22" s="23">
        <v>9430.9599999999991</v>
      </c>
      <c r="E22" s="23">
        <v>9221.9599999999991</v>
      </c>
      <c r="F22" s="23">
        <v>9769.9599999999991</v>
      </c>
      <c r="G22" s="23">
        <f>2822.84+840+418+5609.12</f>
        <v>9689.9599999999991</v>
      </c>
      <c r="H22" s="23">
        <f>840+2822.84+5609.12</f>
        <v>9271.9599999999991</v>
      </c>
      <c r="I22" s="23">
        <v>9766</v>
      </c>
      <c r="J22" s="28">
        <f>2822.84+5609.17+840+209</f>
        <v>9481.01</v>
      </c>
      <c r="K22" s="23">
        <f>2822.84+209+5609.12+840</f>
        <v>9480.9599999999991</v>
      </c>
      <c r="L22" s="23">
        <f>2822.84+574.75+10400+840</f>
        <v>14637.59</v>
      </c>
      <c r="M22" s="10">
        <f>8468.52+418+13697+1760</f>
        <v>24343.52</v>
      </c>
    </row>
    <row r="23" spans="1:16">
      <c r="A23" s="2" t="s">
        <v>20</v>
      </c>
      <c r="B23" s="23">
        <v>0</v>
      </c>
      <c r="C23" s="25">
        <v>0</v>
      </c>
      <c r="D23" s="23">
        <v>0</v>
      </c>
      <c r="E23" s="23">
        <v>0</v>
      </c>
      <c r="F23" s="23">
        <v>7194</v>
      </c>
      <c r="G23" s="23">
        <f>295.19+1570</f>
        <v>1865.19</v>
      </c>
      <c r="H23" s="23">
        <f>96</f>
        <v>96</v>
      </c>
      <c r="I23" s="23" t="s">
        <v>36</v>
      </c>
      <c r="J23" s="28" t="s">
        <v>36</v>
      </c>
      <c r="K23" s="23"/>
      <c r="L23" s="23"/>
      <c r="M23" s="10"/>
    </row>
    <row r="24" spans="1:16">
      <c r="A24" s="2" t="s">
        <v>21</v>
      </c>
      <c r="B24" s="27">
        <f t="shared" ref="B24:H24" si="3">SUM(B18:B23)</f>
        <v>1337.1</v>
      </c>
      <c r="C24" s="27">
        <f t="shared" si="3"/>
        <v>200744.53</v>
      </c>
      <c r="D24" s="27">
        <f>SUM(D18:D23)</f>
        <v>196609.87</v>
      </c>
      <c r="E24" s="27">
        <f t="shared" si="3"/>
        <v>205497.07</v>
      </c>
      <c r="F24" s="27">
        <f t="shared" si="3"/>
        <v>213343.57</v>
      </c>
      <c r="G24" s="27">
        <f t="shared" si="3"/>
        <v>290209.5</v>
      </c>
      <c r="H24" s="27">
        <f t="shared" si="3"/>
        <v>222192.05000000002</v>
      </c>
      <c r="I24" s="27">
        <f>SUM(I18:I23)</f>
        <v>223635</v>
      </c>
      <c r="J24" s="27">
        <f>SUM(J18:J23)</f>
        <v>223350.10000000003</v>
      </c>
      <c r="K24" s="27">
        <f>SUM(K18:K23)</f>
        <v>224657.06</v>
      </c>
      <c r="L24" s="27">
        <f>SUM(L18:L23)</f>
        <v>228733.1</v>
      </c>
      <c r="M24" s="13">
        <f>SUM(M18:M23)</f>
        <v>661569.70000000007</v>
      </c>
    </row>
    <row r="25" spans="1:16">
      <c r="A25" s="2" t="s">
        <v>22</v>
      </c>
      <c r="B25" s="23">
        <v>194.39</v>
      </c>
      <c r="C25" s="25">
        <f>274845.14-240449.41</f>
        <v>34395.73000000001</v>
      </c>
      <c r="D25" s="23">
        <f>1329787.49-1300592.87</f>
        <v>29194.619999999879</v>
      </c>
      <c r="E25" s="23">
        <v>29420.36</v>
      </c>
      <c r="F25" s="23">
        <v>29357.33</v>
      </c>
      <c r="G25" s="23">
        <v>42721.86</v>
      </c>
      <c r="H25" s="23">
        <v>31512.28</v>
      </c>
      <c r="I25" s="23">
        <v>30464</v>
      </c>
      <c r="J25" s="23">
        <v>32253.07</v>
      </c>
      <c r="K25" s="23">
        <f>35028.47+K9</f>
        <v>34233.69</v>
      </c>
      <c r="L25" s="23">
        <v>32923.199999999997</v>
      </c>
      <c r="M25" s="10">
        <v>76264.31</v>
      </c>
    </row>
    <row r="26" spans="1:16">
      <c r="A26" s="3" t="s">
        <v>23</v>
      </c>
      <c r="B26" s="27">
        <f t="shared" ref="B26:M26" si="4">B24+B25</f>
        <v>1531.4899999999998</v>
      </c>
      <c r="C26" s="27">
        <f t="shared" si="4"/>
        <v>235140.26</v>
      </c>
      <c r="D26" s="27">
        <f t="shared" si="4"/>
        <v>225804.48999999987</v>
      </c>
      <c r="E26" s="27">
        <f t="shared" si="4"/>
        <v>234917.43</v>
      </c>
      <c r="F26" s="27">
        <f t="shared" si="4"/>
        <v>242700.90000000002</v>
      </c>
      <c r="G26" s="27">
        <f t="shared" si="4"/>
        <v>332931.36</v>
      </c>
      <c r="H26" s="27">
        <f t="shared" si="4"/>
        <v>253704.33000000002</v>
      </c>
      <c r="I26" s="27">
        <f t="shared" si="4"/>
        <v>254099</v>
      </c>
      <c r="J26" s="27">
        <f t="shared" si="4"/>
        <v>255603.17000000004</v>
      </c>
      <c r="K26" s="27">
        <f t="shared" si="4"/>
        <v>258890.75</v>
      </c>
      <c r="L26" s="27">
        <f t="shared" si="4"/>
        <v>261656.3</v>
      </c>
      <c r="M26" s="27">
        <f t="shared" si="4"/>
        <v>737834.01</v>
      </c>
    </row>
    <row r="27" spans="1:16" ht="33.75">
      <c r="A27" s="6" t="s">
        <v>24</v>
      </c>
      <c r="B27" s="27">
        <f>B26</f>
        <v>1531.4899999999998</v>
      </c>
      <c r="C27" s="27">
        <f t="shared" ref="C27:L27" si="5">C24-C18</f>
        <v>174773.82</v>
      </c>
      <c r="D27" s="27">
        <f>D24-D18</f>
        <v>170613.38</v>
      </c>
      <c r="E27" s="27">
        <f t="shared" si="5"/>
        <v>178707.06</v>
      </c>
      <c r="F27" s="27">
        <f t="shared" si="5"/>
        <v>186553.56</v>
      </c>
      <c r="G27" s="27">
        <f t="shared" si="5"/>
        <v>263419.49</v>
      </c>
      <c r="H27" s="27">
        <f t="shared" si="5"/>
        <v>195402.04</v>
      </c>
      <c r="I27" s="27">
        <f t="shared" si="5"/>
        <v>196845</v>
      </c>
      <c r="J27" s="27">
        <f t="shared" si="5"/>
        <v>196560.09000000003</v>
      </c>
      <c r="K27" s="27">
        <f t="shared" si="5"/>
        <v>197867.05</v>
      </c>
      <c r="L27" s="27">
        <f t="shared" si="5"/>
        <v>201943.09</v>
      </c>
      <c r="M27" s="27">
        <f>M24-M18</f>
        <v>581199.67000000004</v>
      </c>
    </row>
    <row r="28" spans="1:16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6">
      <c r="A29" s="2" t="s">
        <v>25</v>
      </c>
      <c r="B29" s="30">
        <v>20336312.829999998</v>
      </c>
      <c r="C29" s="30">
        <f>B32</f>
        <v>20581073.850000001</v>
      </c>
      <c r="D29" s="30">
        <f>C32</f>
        <v>20414069.329999998</v>
      </c>
      <c r="E29" s="30">
        <f t="shared" ref="E29:L29" si="6">D32</f>
        <v>19206925.300000001</v>
      </c>
      <c r="F29" s="30">
        <f t="shared" si="6"/>
        <v>19681621.73</v>
      </c>
      <c r="G29" s="30">
        <f>F32</f>
        <v>20291831.16</v>
      </c>
      <c r="H29" s="30">
        <f t="shared" si="6"/>
        <v>20879924.900000002</v>
      </c>
      <c r="I29" s="30">
        <f t="shared" si="6"/>
        <v>21648651.820000004</v>
      </c>
      <c r="J29" s="30">
        <f t="shared" si="6"/>
        <v>21615177.820000004</v>
      </c>
      <c r="K29" s="30">
        <f t="shared" si="6"/>
        <v>21468147.310000002</v>
      </c>
      <c r="L29" s="30">
        <f t="shared" si="6"/>
        <v>21568195.800000001</v>
      </c>
      <c r="M29" s="30">
        <f>L32</f>
        <v>22263570.390000001</v>
      </c>
    </row>
    <row r="30" spans="1:16">
      <c r="A30" s="2" t="s">
        <v>26</v>
      </c>
      <c r="B30" s="30">
        <f>B15</f>
        <v>246292.51</v>
      </c>
      <c r="C30" s="30">
        <f t="shared" ref="C30:M30" si="7">C15</f>
        <v>68135.74000000002</v>
      </c>
      <c r="D30" s="30">
        <f t="shared" si="7"/>
        <v>-981339.59000000008</v>
      </c>
      <c r="E30" s="30">
        <f t="shared" si="7"/>
        <v>709613.8600000001</v>
      </c>
      <c r="F30" s="30">
        <f t="shared" si="7"/>
        <v>852910.33</v>
      </c>
      <c r="G30" s="30">
        <f t="shared" si="7"/>
        <v>921025.1</v>
      </c>
      <c r="H30" s="30">
        <f t="shared" si="7"/>
        <v>1022431.2500000001</v>
      </c>
      <c r="I30" s="30">
        <f t="shared" si="7"/>
        <v>220625</v>
      </c>
      <c r="J30" s="30">
        <f t="shared" si="7"/>
        <v>108572.66000000003</v>
      </c>
      <c r="K30" s="30">
        <f t="shared" si="7"/>
        <v>358939.24</v>
      </c>
      <c r="L30" s="30">
        <f t="shared" si="7"/>
        <v>957030.89</v>
      </c>
      <c r="M30" s="30">
        <f t="shared" si="7"/>
        <v>1703427.7599999998</v>
      </c>
    </row>
    <row r="31" spans="1:16">
      <c r="A31" s="2" t="s">
        <v>27</v>
      </c>
      <c r="B31" s="30">
        <f t="shared" ref="B31:M31" si="8">B26</f>
        <v>1531.4899999999998</v>
      </c>
      <c r="C31" s="30">
        <f t="shared" si="8"/>
        <v>235140.26</v>
      </c>
      <c r="D31" s="30">
        <f t="shared" si="8"/>
        <v>225804.48999999987</v>
      </c>
      <c r="E31" s="30">
        <f t="shared" si="8"/>
        <v>234917.43</v>
      </c>
      <c r="F31" s="30">
        <f t="shared" si="8"/>
        <v>242700.90000000002</v>
      </c>
      <c r="G31" s="30">
        <f t="shared" si="8"/>
        <v>332931.36</v>
      </c>
      <c r="H31" s="30">
        <f t="shared" si="8"/>
        <v>253704.33000000002</v>
      </c>
      <c r="I31" s="30">
        <f t="shared" si="8"/>
        <v>254099</v>
      </c>
      <c r="J31" s="30">
        <f t="shared" si="8"/>
        <v>255603.17000000004</v>
      </c>
      <c r="K31" s="30">
        <f t="shared" si="8"/>
        <v>258890.75</v>
      </c>
      <c r="L31" s="30">
        <f t="shared" si="8"/>
        <v>261656.3</v>
      </c>
      <c r="M31" s="30">
        <f t="shared" si="8"/>
        <v>737834.01</v>
      </c>
    </row>
    <row r="32" spans="1:16">
      <c r="A32" s="3" t="s">
        <v>28</v>
      </c>
      <c r="B32" s="30">
        <f t="shared" ref="B32:M32" si="9">B29+B30-B31</f>
        <v>20581073.850000001</v>
      </c>
      <c r="C32" s="30">
        <f t="shared" si="9"/>
        <v>20414069.329999998</v>
      </c>
      <c r="D32" s="30">
        <v>19206925.300000001</v>
      </c>
      <c r="E32" s="30">
        <f t="shared" si="9"/>
        <v>19681621.73</v>
      </c>
      <c r="F32" s="30">
        <f t="shared" si="9"/>
        <v>20291831.16</v>
      </c>
      <c r="G32" s="30">
        <f t="shared" si="9"/>
        <v>20879924.900000002</v>
      </c>
      <c r="H32" s="30">
        <f t="shared" si="9"/>
        <v>21648651.820000004</v>
      </c>
      <c r="I32" s="30">
        <f t="shared" si="9"/>
        <v>21615177.820000004</v>
      </c>
      <c r="J32" s="30">
        <f t="shared" si="9"/>
        <v>21468147.310000002</v>
      </c>
      <c r="K32" s="30">
        <f>K29+K30-K31</f>
        <v>21568195.800000001</v>
      </c>
      <c r="L32" s="30">
        <f t="shared" si="9"/>
        <v>22263570.390000001</v>
      </c>
      <c r="M32" s="30">
        <f t="shared" si="9"/>
        <v>23229164.139999997</v>
      </c>
    </row>
    <row r="33" spans="1:13">
      <c r="B33" s="5"/>
      <c r="C33" s="5"/>
      <c r="D33" s="5"/>
      <c r="E33" s="5"/>
      <c r="F33" s="5"/>
      <c r="G33" s="5"/>
      <c r="H33" s="5"/>
      <c r="I33" s="5"/>
      <c r="J33" s="5"/>
      <c r="K33" s="5"/>
      <c r="M33" s="22"/>
    </row>
    <row r="34" spans="1:13">
      <c r="M34" s="22"/>
    </row>
    <row r="36" spans="1:13">
      <c r="A36" s="41" t="s">
        <v>29</v>
      </c>
      <c r="B36" s="41"/>
      <c r="C36" s="41"/>
      <c r="D36" s="41"/>
      <c r="E36" s="41"/>
      <c r="H36" s="41" t="s">
        <v>30</v>
      </c>
      <c r="I36" s="41"/>
      <c r="J36" s="41"/>
      <c r="K36" s="41"/>
      <c r="L36" s="41"/>
    </row>
    <row r="37" spans="1:13">
      <c r="A37" s="41" t="s">
        <v>31</v>
      </c>
      <c r="B37" s="41"/>
      <c r="C37" s="41"/>
      <c r="D37" s="41"/>
      <c r="E37" s="41"/>
      <c r="H37" s="41" t="s">
        <v>32</v>
      </c>
      <c r="I37" s="41"/>
      <c r="J37" s="41"/>
      <c r="K37" s="41"/>
      <c r="L37" s="41"/>
    </row>
    <row r="39" spans="1:13">
      <c r="A39" s="1" t="s">
        <v>33</v>
      </c>
    </row>
  </sheetData>
  <mergeCells count="6">
    <mergeCell ref="A1:M1"/>
    <mergeCell ref="A36:E36"/>
    <mergeCell ref="H36:L36"/>
    <mergeCell ref="A37:E37"/>
    <mergeCell ref="H37:L37"/>
    <mergeCell ref="A2:M2"/>
  </mergeCells>
  <pageMargins left="0.511811024" right="0.511811024" top="0.78740157499999996" bottom="0.78740157499999996" header="0.31496062000000002" footer="0.31496062000000002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zoomScale="90" zoomScaleNormal="90" workbookViewId="0">
      <selection activeCell="L25" sqref="L25"/>
    </sheetView>
  </sheetViews>
  <sheetFormatPr defaultRowHeight="11.25"/>
  <cols>
    <col min="1" max="1" width="20.28515625" style="1" customWidth="1"/>
    <col min="2" max="2" width="11.7109375" style="1" customWidth="1"/>
    <col min="3" max="3" width="20.140625" style="1" customWidth="1"/>
    <col min="4" max="4" width="14" style="1" customWidth="1"/>
    <col min="5" max="5" width="11.7109375" style="1" customWidth="1"/>
    <col min="6" max="6" width="13.140625" style="1" customWidth="1"/>
    <col min="7" max="7" width="12" style="1" customWidth="1"/>
    <col min="8" max="8" width="12.7109375" style="1" customWidth="1"/>
    <col min="9" max="9" width="13.28515625" style="1" customWidth="1"/>
    <col min="10" max="10" width="12" style="1" customWidth="1"/>
    <col min="11" max="11" width="14.28515625" style="1" customWidth="1"/>
    <col min="12" max="12" width="12" style="1" customWidth="1"/>
    <col min="13" max="13" width="18.140625" style="1" customWidth="1"/>
    <col min="14" max="14" width="16" style="1" customWidth="1"/>
    <col min="15" max="256" width="9.140625" style="1"/>
    <col min="257" max="257" width="20.28515625" style="1" customWidth="1"/>
    <col min="258" max="259" width="10.28515625" style="1" customWidth="1"/>
    <col min="260" max="260" width="9.5703125" style="1" customWidth="1"/>
    <col min="261" max="261" width="9.7109375" style="1" customWidth="1"/>
    <col min="262" max="263" width="9.85546875" style="1" customWidth="1"/>
    <col min="264" max="264" width="9.7109375" style="1" customWidth="1"/>
    <col min="265" max="265" width="12" style="1" bestFit="1" customWidth="1"/>
    <col min="266" max="266" width="10.28515625" style="1" customWidth="1"/>
    <col min="267" max="268" width="9.85546875" style="1" bestFit="1" customWidth="1"/>
    <col min="269" max="269" width="9.85546875" style="1" customWidth="1"/>
    <col min="270" max="270" width="11" style="1" customWidth="1"/>
    <col min="271" max="512" width="9.140625" style="1"/>
    <col min="513" max="513" width="20.28515625" style="1" customWidth="1"/>
    <col min="514" max="515" width="10.28515625" style="1" customWidth="1"/>
    <col min="516" max="516" width="9.5703125" style="1" customWidth="1"/>
    <col min="517" max="517" width="9.7109375" style="1" customWidth="1"/>
    <col min="518" max="519" width="9.85546875" style="1" customWidth="1"/>
    <col min="520" max="520" width="9.7109375" style="1" customWidth="1"/>
    <col min="521" max="521" width="12" style="1" bestFit="1" customWidth="1"/>
    <col min="522" max="522" width="10.28515625" style="1" customWidth="1"/>
    <col min="523" max="524" width="9.85546875" style="1" bestFit="1" customWidth="1"/>
    <col min="525" max="525" width="9.85546875" style="1" customWidth="1"/>
    <col min="526" max="526" width="11" style="1" customWidth="1"/>
    <col min="527" max="768" width="9.140625" style="1"/>
    <col min="769" max="769" width="20.28515625" style="1" customWidth="1"/>
    <col min="770" max="771" width="10.28515625" style="1" customWidth="1"/>
    <col min="772" max="772" width="9.5703125" style="1" customWidth="1"/>
    <col min="773" max="773" width="9.7109375" style="1" customWidth="1"/>
    <col min="774" max="775" width="9.85546875" style="1" customWidth="1"/>
    <col min="776" max="776" width="9.7109375" style="1" customWidth="1"/>
    <col min="777" max="777" width="12" style="1" bestFit="1" customWidth="1"/>
    <col min="778" max="778" width="10.28515625" style="1" customWidth="1"/>
    <col min="779" max="780" width="9.85546875" style="1" bestFit="1" customWidth="1"/>
    <col min="781" max="781" width="9.85546875" style="1" customWidth="1"/>
    <col min="782" max="782" width="11" style="1" customWidth="1"/>
    <col min="783" max="1024" width="9.140625" style="1"/>
    <col min="1025" max="1025" width="20.28515625" style="1" customWidth="1"/>
    <col min="1026" max="1027" width="10.28515625" style="1" customWidth="1"/>
    <col min="1028" max="1028" width="9.5703125" style="1" customWidth="1"/>
    <col min="1029" max="1029" width="9.7109375" style="1" customWidth="1"/>
    <col min="1030" max="1031" width="9.85546875" style="1" customWidth="1"/>
    <col min="1032" max="1032" width="9.7109375" style="1" customWidth="1"/>
    <col min="1033" max="1033" width="12" style="1" bestFit="1" customWidth="1"/>
    <col min="1034" max="1034" width="10.28515625" style="1" customWidth="1"/>
    <col min="1035" max="1036" width="9.85546875" style="1" bestFit="1" customWidth="1"/>
    <col min="1037" max="1037" width="9.85546875" style="1" customWidth="1"/>
    <col min="1038" max="1038" width="11" style="1" customWidth="1"/>
    <col min="1039" max="1280" width="9.140625" style="1"/>
    <col min="1281" max="1281" width="20.28515625" style="1" customWidth="1"/>
    <col min="1282" max="1283" width="10.28515625" style="1" customWidth="1"/>
    <col min="1284" max="1284" width="9.5703125" style="1" customWidth="1"/>
    <col min="1285" max="1285" width="9.7109375" style="1" customWidth="1"/>
    <col min="1286" max="1287" width="9.85546875" style="1" customWidth="1"/>
    <col min="1288" max="1288" width="9.7109375" style="1" customWidth="1"/>
    <col min="1289" max="1289" width="12" style="1" bestFit="1" customWidth="1"/>
    <col min="1290" max="1290" width="10.28515625" style="1" customWidth="1"/>
    <col min="1291" max="1292" width="9.85546875" style="1" bestFit="1" customWidth="1"/>
    <col min="1293" max="1293" width="9.85546875" style="1" customWidth="1"/>
    <col min="1294" max="1294" width="11" style="1" customWidth="1"/>
    <col min="1295" max="1536" width="9.140625" style="1"/>
    <col min="1537" max="1537" width="20.28515625" style="1" customWidth="1"/>
    <col min="1538" max="1539" width="10.28515625" style="1" customWidth="1"/>
    <col min="1540" max="1540" width="9.5703125" style="1" customWidth="1"/>
    <col min="1541" max="1541" width="9.7109375" style="1" customWidth="1"/>
    <col min="1542" max="1543" width="9.85546875" style="1" customWidth="1"/>
    <col min="1544" max="1544" width="9.7109375" style="1" customWidth="1"/>
    <col min="1545" max="1545" width="12" style="1" bestFit="1" customWidth="1"/>
    <col min="1546" max="1546" width="10.28515625" style="1" customWidth="1"/>
    <col min="1547" max="1548" width="9.85546875" style="1" bestFit="1" customWidth="1"/>
    <col min="1549" max="1549" width="9.85546875" style="1" customWidth="1"/>
    <col min="1550" max="1550" width="11" style="1" customWidth="1"/>
    <col min="1551" max="1792" width="9.140625" style="1"/>
    <col min="1793" max="1793" width="20.28515625" style="1" customWidth="1"/>
    <col min="1794" max="1795" width="10.28515625" style="1" customWidth="1"/>
    <col min="1796" max="1796" width="9.5703125" style="1" customWidth="1"/>
    <col min="1797" max="1797" width="9.7109375" style="1" customWidth="1"/>
    <col min="1798" max="1799" width="9.85546875" style="1" customWidth="1"/>
    <col min="1800" max="1800" width="9.7109375" style="1" customWidth="1"/>
    <col min="1801" max="1801" width="12" style="1" bestFit="1" customWidth="1"/>
    <col min="1802" max="1802" width="10.28515625" style="1" customWidth="1"/>
    <col min="1803" max="1804" width="9.85546875" style="1" bestFit="1" customWidth="1"/>
    <col min="1805" max="1805" width="9.85546875" style="1" customWidth="1"/>
    <col min="1806" max="1806" width="11" style="1" customWidth="1"/>
    <col min="1807" max="2048" width="9.140625" style="1"/>
    <col min="2049" max="2049" width="20.28515625" style="1" customWidth="1"/>
    <col min="2050" max="2051" width="10.28515625" style="1" customWidth="1"/>
    <col min="2052" max="2052" width="9.5703125" style="1" customWidth="1"/>
    <col min="2053" max="2053" width="9.7109375" style="1" customWidth="1"/>
    <col min="2054" max="2055" width="9.85546875" style="1" customWidth="1"/>
    <col min="2056" max="2056" width="9.7109375" style="1" customWidth="1"/>
    <col min="2057" max="2057" width="12" style="1" bestFit="1" customWidth="1"/>
    <col min="2058" max="2058" width="10.28515625" style="1" customWidth="1"/>
    <col min="2059" max="2060" width="9.85546875" style="1" bestFit="1" customWidth="1"/>
    <col min="2061" max="2061" width="9.85546875" style="1" customWidth="1"/>
    <col min="2062" max="2062" width="11" style="1" customWidth="1"/>
    <col min="2063" max="2304" width="9.140625" style="1"/>
    <col min="2305" max="2305" width="20.28515625" style="1" customWidth="1"/>
    <col min="2306" max="2307" width="10.28515625" style="1" customWidth="1"/>
    <col min="2308" max="2308" width="9.5703125" style="1" customWidth="1"/>
    <col min="2309" max="2309" width="9.7109375" style="1" customWidth="1"/>
    <col min="2310" max="2311" width="9.85546875" style="1" customWidth="1"/>
    <col min="2312" max="2312" width="9.7109375" style="1" customWidth="1"/>
    <col min="2313" max="2313" width="12" style="1" bestFit="1" customWidth="1"/>
    <col min="2314" max="2314" width="10.28515625" style="1" customWidth="1"/>
    <col min="2315" max="2316" width="9.85546875" style="1" bestFit="1" customWidth="1"/>
    <col min="2317" max="2317" width="9.85546875" style="1" customWidth="1"/>
    <col min="2318" max="2318" width="11" style="1" customWidth="1"/>
    <col min="2319" max="2560" width="9.140625" style="1"/>
    <col min="2561" max="2561" width="20.28515625" style="1" customWidth="1"/>
    <col min="2562" max="2563" width="10.28515625" style="1" customWidth="1"/>
    <col min="2564" max="2564" width="9.5703125" style="1" customWidth="1"/>
    <col min="2565" max="2565" width="9.7109375" style="1" customWidth="1"/>
    <col min="2566" max="2567" width="9.85546875" style="1" customWidth="1"/>
    <col min="2568" max="2568" width="9.7109375" style="1" customWidth="1"/>
    <col min="2569" max="2569" width="12" style="1" bestFit="1" customWidth="1"/>
    <col min="2570" max="2570" width="10.28515625" style="1" customWidth="1"/>
    <col min="2571" max="2572" width="9.85546875" style="1" bestFit="1" customWidth="1"/>
    <col min="2573" max="2573" width="9.85546875" style="1" customWidth="1"/>
    <col min="2574" max="2574" width="11" style="1" customWidth="1"/>
    <col min="2575" max="2816" width="9.140625" style="1"/>
    <col min="2817" max="2817" width="20.28515625" style="1" customWidth="1"/>
    <col min="2818" max="2819" width="10.28515625" style="1" customWidth="1"/>
    <col min="2820" max="2820" width="9.5703125" style="1" customWidth="1"/>
    <col min="2821" max="2821" width="9.7109375" style="1" customWidth="1"/>
    <col min="2822" max="2823" width="9.85546875" style="1" customWidth="1"/>
    <col min="2824" max="2824" width="9.7109375" style="1" customWidth="1"/>
    <col min="2825" max="2825" width="12" style="1" bestFit="1" customWidth="1"/>
    <col min="2826" max="2826" width="10.28515625" style="1" customWidth="1"/>
    <col min="2827" max="2828" width="9.85546875" style="1" bestFit="1" customWidth="1"/>
    <col min="2829" max="2829" width="9.85546875" style="1" customWidth="1"/>
    <col min="2830" max="2830" width="11" style="1" customWidth="1"/>
    <col min="2831" max="3072" width="9.140625" style="1"/>
    <col min="3073" max="3073" width="20.28515625" style="1" customWidth="1"/>
    <col min="3074" max="3075" width="10.28515625" style="1" customWidth="1"/>
    <col min="3076" max="3076" width="9.5703125" style="1" customWidth="1"/>
    <col min="3077" max="3077" width="9.7109375" style="1" customWidth="1"/>
    <col min="3078" max="3079" width="9.85546875" style="1" customWidth="1"/>
    <col min="3080" max="3080" width="9.7109375" style="1" customWidth="1"/>
    <col min="3081" max="3081" width="12" style="1" bestFit="1" customWidth="1"/>
    <col min="3082" max="3082" width="10.28515625" style="1" customWidth="1"/>
    <col min="3083" max="3084" width="9.85546875" style="1" bestFit="1" customWidth="1"/>
    <col min="3085" max="3085" width="9.85546875" style="1" customWidth="1"/>
    <col min="3086" max="3086" width="11" style="1" customWidth="1"/>
    <col min="3087" max="3328" width="9.140625" style="1"/>
    <col min="3329" max="3329" width="20.28515625" style="1" customWidth="1"/>
    <col min="3330" max="3331" width="10.28515625" style="1" customWidth="1"/>
    <col min="3332" max="3332" width="9.5703125" style="1" customWidth="1"/>
    <col min="3333" max="3333" width="9.7109375" style="1" customWidth="1"/>
    <col min="3334" max="3335" width="9.85546875" style="1" customWidth="1"/>
    <col min="3336" max="3336" width="9.7109375" style="1" customWidth="1"/>
    <col min="3337" max="3337" width="12" style="1" bestFit="1" customWidth="1"/>
    <col min="3338" max="3338" width="10.28515625" style="1" customWidth="1"/>
    <col min="3339" max="3340" width="9.85546875" style="1" bestFit="1" customWidth="1"/>
    <col min="3341" max="3341" width="9.85546875" style="1" customWidth="1"/>
    <col min="3342" max="3342" width="11" style="1" customWidth="1"/>
    <col min="3343" max="3584" width="9.140625" style="1"/>
    <col min="3585" max="3585" width="20.28515625" style="1" customWidth="1"/>
    <col min="3586" max="3587" width="10.28515625" style="1" customWidth="1"/>
    <col min="3588" max="3588" width="9.5703125" style="1" customWidth="1"/>
    <col min="3589" max="3589" width="9.7109375" style="1" customWidth="1"/>
    <col min="3590" max="3591" width="9.85546875" style="1" customWidth="1"/>
    <col min="3592" max="3592" width="9.7109375" style="1" customWidth="1"/>
    <col min="3593" max="3593" width="12" style="1" bestFit="1" customWidth="1"/>
    <col min="3594" max="3594" width="10.28515625" style="1" customWidth="1"/>
    <col min="3595" max="3596" width="9.85546875" style="1" bestFit="1" customWidth="1"/>
    <col min="3597" max="3597" width="9.85546875" style="1" customWidth="1"/>
    <col min="3598" max="3598" width="11" style="1" customWidth="1"/>
    <col min="3599" max="3840" width="9.140625" style="1"/>
    <col min="3841" max="3841" width="20.28515625" style="1" customWidth="1"/>
    <col min="3842" max="3843" width="10.28515625" style="1" customWidth="1"/>
    <col min="3844" max="3844" width="9.5703125" style="1" customWidth="1"/>
    <col min="3845" max="3845" width="9.7109375" style="1" customWidth="1"/>
    <col min="3846" max="3847" width="9.85546875" style="1" customWidth="1"/>
    <col min="3848" max="3848" width="9.7109375" style="1" customWidth="1"/>
    <col min="3849" max="3849" width="12" style="1" bestFit="1" customWidth="1"/>
    <col min="3850" max="3850" width="10.28515625" style="1" customWidth="1"/>
    <col min="3851" max="3852" width="9.85546875" style="1" bestFit="1" customWidth="1"/>
    <col min="3853" max="3853" width="9.85546875" style="1" customWidth="1"/>
    <col min="3854" max="3854" width="11" style="1" customWidth="1"/>
    <col min="3855" max="4096" width="9.140625" style="1"/>
    <col min="4097" max="4097" width="20.28515625" style="1" customWidth="1"/>
    <col min="4098" max="4099" width="10.28515625" style="1" customWidth="1"/>
    <col min="4100" max="4100" width="9.5703125" style="1" customWidth="1"/>
    <col min="4101" max="4101" width="9.7109375" style="1" customWidth="1"/>
    <col min="4102" max="4103" width="9.85546875" style="1" customWidth="1"/>
    <col min="4104" max="4104" width="9.7109375" style="1" customWidth="1"/>
    <col min="4105" max="4105" width="12" style="1" bestFit="1" customWidth="1"/>
    <col min="4106" max="4106" width="10.28515625" style="1" customWidth="1"/>
    <col min="4107" max="4108" width="9.85546875" style="1" bestFit="1" customWidth="1"/>
    <col min="4109" max="4109" width="9.85546875" style="1" customWidth="1"/>
    <col min="4110" max="4110" width="11" style="1" customWidth="1"/>
    <col min="4111" max="4352" width="9.140625" style="1"/>
    <col min="4353" max="4353" width="20.28515625" style="1" customWidth="1"/>
    <col min="4354" max="4355" width="10.28515625" style="1" customWidth="1"/>
    <col min="4356" max="4356" width="9.5703125" style="1" customWidth="1"/>
    <col min="4357" max="4357" width="9.7109375" style="1" customWidth="1"/>
    <col min="4358" max="4359" width="9.85546875" style="1" customWidth="1"/>
    <col min="4360" max="4360" width="9.7109375" style="1" customWidth="1"/>
    <col min="4361" max="4361" width="12" style="1" bestFit="1" customWidth="1"/>
    <col min="4362" max="4362" width="10.28515625" style="1" customWidth="1"/>
    <col min="4363" max="4364" width="9.85546875" style="1" bestFit="1" customWidth="1"/>
    <col min="4365" max="4365" width="9.85546875" style="1" customWidth="1"/>
    <col min="4366" max="4366" width="11" style="1" customWidth="1"/>
    <col min="4367" max="4608" width="9.140625" style="1"/>
    <col min="4609" max="4609" width="20.28515625" style="1" customWidth="1"/>
    <col min="4610" max="4611" width="10.28515625" style="1" customWidth="1"/>
    <col min="4612" max="4612" width="9.5703125" style="1" customWidth="1"/>
    <col min="4613" max="4613" width="9.7109375" style="1" customWidth="1"/>
    <col min="4614" max="4615" width="9.85546875" style="1" customWidth="1"/>
    <col min="4616" max="4616" width="9.7109375" style="1" customWidth="1"/>
    <col min="4617" max="4617" width="12" style="1" bestFit="1" customWidth="1"/>
    <col min="4618" max="4618" width="10.28515625" style="1" customWidth="1"/>
    <col min="4619" max="4620" width="9.85546875" style="1" bestFit="1" customWidth="1"/>
    <col min="4621" max="4621" width="9.85546875" style="1" customWidth="1"/>
    <col min="4622" max="4622" width="11" style="1" customWidth="1"/>
    <col min="4623" max="4864" width="9.140625" style="1"/>
    <col min="4865" max="4865" width="20.28515625" style="1" customWidth="1"/>
    <col min="4866" max="4867" width="10.28515625" style="1" customWidth="1"/>
    <col min="4868" max="4868" width="9.5703125" style="1" customWidth="1"/>
    <col min="4869" max="4869" width="9.7109375" style="1" customWidth="1"/>
    <col min="4870" max="4871" width="9.85546875" style="1" customWidth="1"/>
    <col min="4872" max="4872" width="9.7109375" style="1" customWidth="1"/>
    <col min="4873" max="4873" width="12" style="1" bestFit="1" customWidth="1"/>
    <col min="4874" max="4874" width="10.28515625" style="1" customWidth="1"/>
    <col min="4875" max="4876" width="9.85546875" style="1" bestFit="1" customWidth="1"/>
    <col min="4877" max="4877" width="9.85546875" style="1" customWidth="1"/>
    <col min="4878" max="4878" width="11" style="1" customWidth="1"/>
    <col min="4879" max="5120" width="9.140625" style="1"/>
    <col min="5121" max="5121" width="20.28515625" style="1" customWidth="1"/>
    <col min="5122" max="5123" width="10.28515625" style="1" customWidth="1"/>
    <col min="5124" max="5124" width="9.5703125" style="1" customWidth="1"/>
    <col min="5125" max="5125" width="9.7109375" style="1" customWidth="1"/>
    <col min="5126" max="5127" width="9.85546875" style="1" customWidth="1"/>
    <col min="5128" max="5128" width="9.7109375" style="1" customWidth="1"/>
    <col min="5129" max="5129" width="12" style="1" bestFit="1" customWidth="1"/>
    <col min="5130" max="5130" width="10.28515625" style="1" customWidth="1"/>
    <col min="5131" max="5132" width="9.85546875" style="1" bestFit="1" customWidth="1"/>
    <col min="5133" max="5133" width="9.85546875" style="1" customWidth="1"/>
    <col min="5134" max="5134" width="11" style="1" customWidth="1"/>
    <col min="5135" max="5376" width="9.140625" style="1"/>
    <col min="5377" max="5377" width="20.28515625" style="1" customWidth="1"/>
    <col min="5378" max="5379" width="10.28515625" style="1" customWidth="1"/>
    <col min="5380" max="5380" width="9.5703125" style="1" customWidth="1"/>
    <col min="5381" max="5381" width="9.7109375" style="1" customWidth="1"/>
    <col min="5382" max="5383" width="9.85546875" style="1" customWidth="1"/>
    <col min="5384" max="5384" width="9.7109375" style="1" customWidth="1"/>
    <col min="5385" max="5385" width="12" style="1" bestFit="1" customWidth="1"/>
    <col min="5386" max="5386" width="10.28515625" style="1" customWidth="1"/>
    <col min="5387" max="5388" width="9.85546875" style="1" bestFit="1" customWidth="1"/>
    <col min="5389" max="5389" width="9.85546875" style="1" customWidth="1"/>
    <col min="5390" max="5390" width="11" style="1" customWidth="1"/>
    <col min="5391" max="5632" width="9.140625" style="1"/>
    <col min="5633" max="5633" width="20.28515625" style="1" customWidth="1"/>
    <col min="5634" max="5635" width="10.28515625" style="1" customWidth="1"/>
    <col min="5636" max="5636" width="9.5703125" style="1" customWidth="1"/>
    <col min="5637" max="5637" width="9.7109375" style="1" customWidth="1"/>
    <col min="5638" max="5639" width="9.85546875" style="1" customWidth="1"/>
    <col min="5640" max="5640" width="9.7109375" style="1" customWidth="1"/>
    <col min="5641" max="5641" width="12" style="1" bestFit="1" customWidth="1"/>
    <col min="5642" max="5642" width="10.28515625" style="1" customWidth="1"/>
    <col min="5643" max="5644" width="9.85546875" style="1" bestFit="1" customWidth="1"/>
    <col min="5645" max="5645" width="9.85546875" style="1" customWidth="1"/>
    <col min="5646" max="5646" width="11" style="1" customWidth="1"/>
    <col min="5647" max="5888" width="9.140625" style="1"/>
    <col min="5889" max="5889" width="20.28515625" style="1" customWidth="1"/>
    <col min="5890" max="5891" width="10.28515625" style="1" customWidth="1"/>
    <col min="5892" max="5892" width="9.5703125" style="1" customWidth="1"/>
    <col min="5893" max="5893" width="9.7109375" style="1" customWidth="1"/>
    <col min="5894" max="5895" width="9.85546875" style="1" customWidth="1"/>
    <col min="5896" max="5896" width="9.7109375" style="1" customWidth="1"/>
    <col min="5897" max="5897" width="12" style="1" bestFit="1" customWidth="1"/>
    <col min="5898" max="5898" width="10.28515625" style="1" customWidth="1"/>
    <col min="5899" max="5900" width="9.85546875" style="1" bestFit="1" customWidth="1"/>
    <col min="5901" max="5901" width="9.85546875" style="1" customWidth="1"/>
    <col min="5902" max="5902" width="11" style="1" customWidth="1"/>
    <col min="5903" max="6144" width="9.140625" style="1"/>
    <col min="6145" max="6145" width="20.28515625" style="1" customWidth="1"/>
    <col min="6146" max="6147" width="10.28515625" style="1" customWidth="1"/>
    <col min="6148" max="6148" width="9.5703125" style="1" customWidth="1"/>
    <col min="6149" max="6149" width="9.7109375" style="1" customWidth="1"/>
    <col min="6150" max="6151" width="9.85546875" style="1" customWidth="1"/>
    <col min="6152" max="6152" width="9.7109375" style="1" customWidth="1"/>
    <col min="6153" max="6153" width="12" style="1" bestFit="1" customWidth="1"/>
    <col min="6154" max="6154" width="10.28515625" style="1" customWidth="1"/>
    <col min="6155" max="6156" width="9.85546875" style="1" bestFit="1" customWidth="1"/>
    <col min="6157" max="6157" width="9.85546875" style="1" customWidth="1"/>
    <col min="6158" max="6158" width="11" style="1" customWidth="1"/>
    <col min="6159" max="6400" width="9.140625" style="1"/>
    <col min="6401" max="6401" width="20.28515625" style="1" customWidth="1"/>
    <col min="6402" max="6403" width="10.28515625" style="1" customWidth="1"/>
    <col min="6404" max="6404" width="9.5703125" style="1" customWidth="1"/>
    <col min="6405" max="6405" width="9.7109375" style="1" customWidth="1"/>
    <col min="6406" max="6407" width="9.85546875" style="1" customWidth="1"/>
    <col min="6408" max="6408" width="9.7109375" style="1" customWidth="1"/>
    <col min="6409" max="6409" width="12" style="1" bestFit="1" customWidth="1"/>
    <col min="6410" max="6410" width="10.28515625" style="1" customWidth="1"/>
    <col min="6411" max="6412" width="9.85546875" style="1" bestFit="1" customWidth="1"/>
    <col min="6413" max="6413" width="9.85546875" style="1" customWidth="1"/>
    <col min="6414" max="6414" width="11" style="1" customWidth="1"/>
    <col min="6415" max="6656" width="9.140625" style="1"/>
    <col min="6657" max="6657" width="20.28515625" style="1" customWidth="1"/>
    <col min="6658" max="6659" width="10.28515625" style="1" customWidth="1"/>
    <col min="6660" max="6660" width="9.5703125" style="1" customWidth="1"/>
    <col min="6661" max="6661" width="9.7109375" style="1" customWidth="1"/>
    <col min="6662" max="6663" width="9.85546875" style="1" customWidth="1"/>
    <col min="6664" max="6664" width="9.7109375" style="1" customWidth="1"/>
    <col min="6665" max="6665" width="12" style="1" bestFit="1" customWidth="1"/>
    <col min="6666" max="6666" width="10.28515625" style="1" customWidth="1"/>
    <col min="6667" max="6668" width="9.85546875" style="1" bestFit="1" customWidth="1"/>
    <col min="6669" max="6669" width="9.85546875" style="1" customWidth="1"/>
    <col min="6670" max="6670" width="11" style="1" customWidth="1"/>
    <col min="6671" max="6912" width="9.140625" style="1"/>
    <col min="6913" max="6913" width="20.28515625" style="1" customWidth="1"/>
    <col min="6914" max="6915" width="10.28515625" style="1" customWidth="1"/>
    <col min="6916" max="6916" width="9.5703125" style="1" customWidth="1"/>
    <col min="6917" max="6917" width="9.7109375" style="1" customWidth="1"/>
    <col min="6918" max="6919" width="9.85546875" style="1" customWidth="1"/>
    <col min="6920" max="6920" width="9.7109375" style="1" customWidth="1"/>
    <col min="6921" max="6921" width="12" style="1" bestFit="1" customWidth="1"/>
    <col min="6922" max="6922" width="10.28515625" style="1" customWidth="1"/>
    <col min="6923" max="6924" width="9.85546875" style="1" bestFit="1" customWidth="1"/>
    <col min="6925" max="6925" width="9.85546875" style="1" customWidth="1"/>
    <col min="6926" max="6926" width="11" style="1" customWidth="1"/>
    <col min="6927" max="7168" width="9.140625" style="1"/>
    <col min="7169" max="7169" width="20.28515625" style="1" customWidth="1"/>
    <col min="7170" max="7171" width="10.28515625" style="1" customWidth="1"/>
    <col min="7172" max="7172" width="9.5703125" style="1" customWidth="1"/>
    <col min="7173" max="7173" width="9.7109375" style="1" customWidth="1"/>
    <col min="7174" max="7175" width="9.85546875" style="1" customWidth="1"/>
    <col min="7176" max="7176" width="9.7109375" style="1" customWidth="1"/>
    <col min="7177" max="7177" width="12" style="1" bestFit="1" customWidth="1"/>
    <col min="7178" max="7178" width="10.28515625" style="1" customWidth="1"/>
    <col min="7179" max="7180" width="9.85546875" style="1" bestFit="1" customWidth="1"/>
    <col min="7181" max="7181" width="9.85546875" style="1" customWidth="1"/>
    <col min="7182" max="7182" width="11" style="1" customWidth="1"/>
    <col min="7183" max="7424" width="9.140625" style="1"/>
    <col min="7425" max="7425" width="20.28515625" style="1" customWidth="1"/>
    <col min="7426" max="7427" width="10.28515625" style="1" customWidth="1"/>
    <col min="7428" max="7428" width="9.5703125" style="1" customWidth="1"/>
    <col min="7429" max="7429" width="9.7109375" style="1" customWidth="1"/>
    <col min="7430" max="7431" width="9.85546875" style="1" customWidth="1"/>
    <col min="7432" max="7432" width="9.7109375" style="1" customWidth="1"/>
    <col min="7433" max="7433" width="12" style="1" bestFit="1" customWidth="1"/>
    <col min="7434" max="7434" width="10.28515625" style="1" customWidth="1"/>
    <col min="7435" max="7436" width="9.85546875" style="1" bestFit="1" customWidth="1"/>
    <col min="7437" max="7437" width="9.85546875" style="1" customWidth="1"/>
    <col min="7438" max="7438" width="11" style="1" customWidth="1"/>
    <col min="7439" max="7680" width="9.140625" style="1"/>
    <col min="7681" max="7681" width="20.28515625" style="1" customWidth="1"/>
    <col min="7682" max="7683" width="10.28515625" style="1" customWidth="1"/>
    <col min="7684" max="7684" width="9.5703125" style="1" customWidth="1"/>
    <col min="7685" max="7685" width="9.7109375" style="1" customWidth="1"/>
    <col min="7686" max="7687" width="9.85546875" style="1" customWidth="1"/>
    <col min="7688" max="7688" width="9.7109375" style="1" customWidth="1"/>
    <col min="7689" max="7689" width="12" style="1" bestFit="1" customWidth="1"/>
    <col min="7690" max="7690" width="10.28515625" style="1" customWidth="1"/>
    <col min="7691" max="7692" width="9.85546875" style="1" bestFit="1" customWidth="1"/>
    <col min="7693" max="7693" width="9.85546875" style="1" customWidth="1"/>
    <col min="7694" max="7694" width="11" style="1" customWidth="1"/>
    <col min="7695" max="7936" width="9.140625" style="1"/>
    <col min="7937" max="7937" width="20.28515625" style="1" customWidth="1"/>
    <col min="7938" max="7939" width="10.28515625" style="1" customWidth="1"/>
    <col min="7940" max="7940" width="9.5703125" style="1" customWidth="1"/>
    <col min="7941" max="7941" width="9.7109375" style="1" customWidth="1"/>
    <col min="7942" max="7943" width="9.85546875" style="1" customWidth="1"/>
    <col min="7944" max="7944" width="9.7109375" style="1" customWidth="1"/>
    <col min="7945" max="7945" width="12" style="1" bestFit="1" customWidth="1"/>
    <col min="7946" max="7946" width="10.28515625" style="1" customWidth="1"/>
    <col min="7947" max="7948" width="9.85546875" style="1" bestFit="1" customWidth="1"/>
    <col min="7949" max="7949" width="9.85546875" style="1" customWidth="1"/>
    <col min="7950" max="7950" width="11" style="1" customWidth="1"/>
    <col min="7951" max="8192" width="9.140625" style="1"/>
    <col min="8193" max="8193" width="20.28515625" style="1" customWidth="1"/>
    <col min="8194" max="8195" width="10.28515625" style="1" customWidth="1"/>
    <col min="8196" max="8196" width="9.5703125" style="1" customWidth="1"/>
    <col min="8197" max="8197" width="9.7109375" style="1" customWidth="1"/>
    <col min="8198" max="8199" width="9.85546875" style="1" customWidth="1"/>
    <col min="8200" max="8200" width="9.7109375" style="1" customWidth="1"/>
    <col min="8201" max="8201" width="12" style="1" bestFit="1" customWidth="1"/>
    <col min="8202" max="8202" width="10.28515625" style="1" customWidth="1"/>
    <col min="8203" max="8204" width="9.85546875" style="1" bestFit="1" customWidth="1"/>
    <col min="8205" max="8205" width="9.85546875" style="1" customWidth="1"/>
    <col min="8206" max="8206" width="11" style="1" customWidth="1"/>
    <col min="8207" max="8448" width="9.140625" style="1"/>
    <col min="8449" max="8449" width="20.28515625" style="1" customWidth="1"/>
    <col min="8450" max="8451" width="10.28515625" style="1" customWidth="1"/>
    <col min="8452" max="8452" width="9.5703125" style="1" customWidth="1"/>
    <col min="8453" max="8453" width="9.7109375" style="1" customWidth="1"/>
    <col min="8454" max="8455" width="9.85546875" style="1" customWidth="1"/>
    <col min="8456" max="8456" width="9.7109375" style="1" customWidth="1"/>
    <col min="8457" max="8457" width="12" style="1" bestFit="1" customWidth="1"/>
    <col min="8458" max="8458" width="10.28515625" style="1" customWidth="1"/>
    <col min="8459" max="8460" width="9.85546875" style="1" bestFit="1" customWidth="1"/>
    <col min="8461" max="8461" width="9.85546875" style="1" customWidth="1"/>
    <col min="8462" max="8462" width="11" style="1" customWidth="1"/>
    <col min="8463" max="8704" width="9.140625" style="1"/>
    <col min="8705" max="8705" width="20.28515625" style="1" customWidth="1"/>
    <col min="8706" max="8707" width="10.28515625" style="1" customWidth="1"/>
    <col min="8708" max="8708" width="9.5703125" style="1" customWidth="1"/>
    <col min="8709" max="8709" width="9.7109375" style="1" customWidth="1"/>
    <col min="8710" max="8711" width="9.85546875" style="1" customWidth="1"/>
    <col min="8712" max="8712" width="9.7109375" style="1" customWidth="1"/>
    <col min="8713" max="8713" width="12" style="1" bestFit="1" customWidth="1"/>
    <col min="8714" max="8714" width="10.28515625" style="1" customWidth="1"/>
    <col min="8715" max="8716" width="9.85546875" style="1" bestFit="1" customWidth="1"/>
    <col min="8717" max="8717" width="9.85546875" style="1" customWidth="1"/>
    <col min="8718" max="8718" width="11" style="1" customWidth="1"/>
    <col min="8719" max="8960" width="9.140625" style="1"/>
    <col min="8961" max="8961" width="20.28515625" style="1" customWidth="1"/>
    <col min="8962" max="8963" width="10.28515625" style="1" customWidth="1"/>
    <col min="8964" max="8964" width="9.5703125" style="1" customWidth="1"/>
    <col min="8965" max="8965" width="9.7109375" style="1" customWidth="1"/>
    <col min="8966" max="8967" width="9.85546875" style="1" customWidth="1"/>
    <col min="8968" max="8968" width="9.7109375" style="1" customWidth="1"/>
    <col min="8969" max="8969" width="12" style="1" bestFit="1" customWidth="1"/>
    <col min="8970" max="8970" width="10.28515625" style="1" customWidth="1"/>
    <col min="8971" max="8972" width="9.85546875" style="1" bestFit="1" customWidth="1"/>
    <col min="8973" max="8973" width="9.85546875" style="1" customWidth="1"/>
    <col min="8974" max="8974" width="11" style="1" customWidth="1"/>
    <col min="8975" max="9216" width="9.140625" style="1"/>
    <col min="9217" max="9217" width="20.28515625" style="1" customWidth="1"/>
    <col min="9218" max="9219" width="10.28515625" style="1" customWidth="1"/>
    <col min="9220" max="9220" width="9.5703125" style="1" customWidth="1"/>
    <col min="9221" max="9221" width="9.7109375" style="1" customWidth="1"/>
    <col min="9222" max="9223" width="9.85546875" style="1" customWidth="1"/>
    <col min="9224" max="9224" width="9.7109375" style="1" customWidth="1"/>
    <col min="9225" max="9225" width="12" style="1" bestFit="1" customWidth="1"/>
    <col min="9226" max="9226" width="10.28515625" style="1" customWidth="1"/>
    <col min="9227" max="9228" width="9.85546875" style="1" bestFit="1" customWidth="1"/>
    <col min="9229" max="9229" width="9.85546875" style="1" customWidth="1"/>
    <col min="9230" max="9230" width="11" style="1" customWidth="1"/>
    <col min="9231" max="9472" width="9.140625" style="1"/>
    <col min="9473" max="9473" width="20.28515625" style="1" customWidth="1"/>
    <col min="9474" max="9475" width="10.28515625" style="1" customWidth="1"/>
    <col min="9476" max="9476" width="9.5703125" style="1" customWidth="1"/>
    <col min="9477" max="9477" width="9.7109375" style="1" customWidth="1"/>
    <col min="9478" max="9479" width="9.85546875" style="1" customWidth="1"/>
    <col min="9480" max="9480" width="9.7109375" style="1" customWidth="1"/>
    <col min="9481" max="9481" width="12" style="1" bestFit="1" customWidth="1"/>
    <col min="9482" max="9482" width="10.28515625" style="1" customWidth="1"/>
    <col min="9483" max="9484" width="9.85546875" style="1" bestFit="1" customWidth="1"/>
    <col min="9485" max="9485" width="9.85546875" style="1" customWidth="1"/>
    <col min="9486" max="9486" width="11" style="1" customWidth="1"/>
    <col min="9487" max="9728" width="9.140625" style="1"/>
    <col min="9729" max="9729" width="20.28515625" style="1" customWidth="1"/>
    <col min="9730" max="9731" width="10.28515625" style="1" customWidth="1"/>
    <col min="9732" max="9732" width="9.5703125" style="1" customWidth="1"/>
    <col min="9733" max="9733" width="9.7109375" style="1" customWidth="1"/>
    <col min="9734" max="9735" width="9.85546875" style="1" customWidth="1"/>
    <col min="9736" max="9736" width="9.7109375" style="1" customWidth="1"/>
    <col min="9737" max="9737" width="12" style="1" bestFit="1" customWidth="1"/>
    <col min="9738" max="9738" width="10.28515625" style="1" customWidth="1"/>
    <col min="9739" max="9740" width="9.85546875" style="1" bestFit="1" customWidth="1"/>
    <col min="9741" max="9741" width="9.85546875" style="1" customWidth="1"/>
    <col min="9742" max="9742" width="11" style="1" customWidth="1"/>
    <col min="9743" max="9984" width="9.140625" style="1"/>
    <col min="9985" max="9985" width="20.28515625" style="1" customWidth="1"/>
    <col min="9986" max="9987" width="10.28515625" style="1" customWidth="1"/>
    <col min="9988" max="9988" width="9.5703125" style="1" customWidth="1"/>
    <col min="9989" max="9989" width="9.7109375" style="1" customWidth="1"/>
    <col min="9990" max="9991" width="9.85546875" style="1" customWidth="1"/>
    <col min="9992" max="9992" width="9.7109375" style="1" customWidth="1"/>
    <col min="9993" max="9993" width="12" style="1" bestFit="1" customWidth="1"/>
    <col min="9994" max="9994" width="10.28515625" style="1" customWidth="1"/>
    <col min="9995" max="9996" width="9.85546875" style="1" bestFit="1" customWidth="1"/>
    <col min="9997" max="9997" width="9.85546875" style="1" customWidth="1"/>
    <col min="9998" max="9998" width="11" style="1" customWidth="1"/>
    <col min="9999" max="10240" width="9.140625" style="1"/>
    <col min="10241" max="10241" width="20.28515625" style="1" customWidth="1"/>
    <col min="10242" max="10243" width="10.28515625" style="1" customWidth="1"/>
    <col min="10244" max="10244" width="9.5703125" style="1" customWidth="1"/>
    <col min="10245" max="10245" width="9.7109375" style="1" customWidth="1"/>
    <col min="10246" max="10247" width="9.85546875" style="1" customWidth="1"/>
    <col min="10248" max="10248" width="9.7109375" style="1" customWidth="1"/>
    <col min="10249" max="10249" width="12" style="1" bestFit="1" customWidth="1"/>
    <col min="10250" max="10250" width="10.28515625" style="1" customWidth="1"/>
    <col min="10251" max="10252" width="9.85546875" style="1" bestFit="1" customWidth="1"/>
    <col min="10253" max="10253" width="9.85546875" style="1" customWidth="1"/>
    <col min="10254" max="10254" width="11" style="1" customWidth="1"/>
    <col min="10255" max="10496" width="9.140625" style="1"/>
    <col min="10497" max="10497" width="20.28515625" style="1" customWidth="1"/>
    <col min="10498" max="10499" width="10.28515625" style="1" customWidth="1"/>
    <col min="10500" max="10500" width="9.5703125" style="1" customWidth="1"/>
    <col min="10501" max="10501" width="9.7109375" style="1" customWidth="1"/>
    <col min="10502" max="10503" width="9.85546875" style="1" customWidth="1"/>
    <col min="10504" max="10504" width="9.7109375" style="1" customWidth="1"/>
    <col min="10505" max="10505" width="12" style="1" bestFit="1" customWidth="1"/>
    <col min="10506" max="10506" width="10.28515625" style="1" customWidth="1"/>
    <col min="10507" max="10508" width="9.85546875" style="1" bestFit="1" customWidth="1"/>
    <col min="10509" max="10509" width="9.85546875" style="1" customWidth="1"/>
    <col min="10510" max="10510" width="11" style="1" customWidth="1"/>
    <col min="10511" max="10752" width="9.140625" style="1"/>
    <col min="10753" max="10753" width="20.28515625" style="1" customWidth="1"/>
    <col min="10754" max="10755" width="10.28515625" style="1" customWidth="1"/>
    <col min="10756" max="10756" width="9.5703125" style="1" customWidth="1"/>
    <col min="10757" max="10757" width="9.7109375" style="1" customWidth="1"/>
    <col min="10758" max="10759" width="9.85546875" style="1" customWidth="1"/>
    <col min="10760" max="10760" width="9.7109375" style="1" customWidth="1"/>
    <col min="10761" max="10761" width="12" style="1" bestFit="1" customWidth="1"/>
    <col min="10762" max="10762" width="10.28515625" style="1" customWidth="1"/>
    <col min="10763" max="10764" width="9.85546875" style="1" bestFit="1" customWidth="1"/>
    <col min="10765" max="10765" width="9.85546875" style="1" customWidth="1"/>
    <col min="10766" max="10766" width="11" style="1" customWidth="1"/>
    <col min="10767" max="11008" width="9.140625" style="1"/>
    <col min="11009" max="11009" width="20.28515625" style="1" customWidth="1"/>
    <col min="11010" max="11011" width="10.28515625" style="1" customWidth="1"/>
    <col min="11012" max="11012" width="9.5703125" style="1" customWidth="1"/>
    <col min="11013" max="11013" width="9.7109375" style="1" customWidth="1"/>
    <col min="11014" max="11015" width="9.85546875" style="1" customWidth="1"/>
    <col min="11016" max="11016" width="9.7109375" style="1" customWidth="1"/>
    <col min="11017" max="11017" width="12" style="1" bestFit="1" customWidth="1"/>
    <col min="11018" max="11018" width="10.28515625" style="1" customWidth="1"/>
    <col min="11019" max="11020" width="9.85546875" style="1" bestFit="1" customWidth="1"/>
    <col min="11021" max="11021" width="9.85546875" style="1" customWidth="1"/>
    <col min="11022" max="11022" width="11" style="1" customWidth="1"/>
    <col min="11023" max="11264" width="9.140625" style="1"/>
    <col min="11265" max="11265" width="20.28515625" style="1" customWidth="1"/>
    <col min="11266" max="11267" width="10.28515625" style="1" customWidth="1"/>
    <col min="11268" max="11268" width="9.5703125" style="1" customWidth="1"/>
    <col min="11269" max="11269" width="9.7109375" style="1" customWidth="1"/>
    <col min="11270" max="11271" width="9.85546875" style="1" customWidth="1"/>
    <col min="11272" max="11272" width="9.7109375" style="1" customWidth="1"/>
    <col min="11273" max="11273" width="12" style="1" bestFit="1" customWidth="1"/>
    <col min="11274" max="11274" width="10.28515625" style="1" customWidth="1"/>
    <col min="11275" max="11276" width="9.85546875" style="1" bestFit="1" customWidth="1"/>
    <col min="11277" max="11277" width="9.85546875" style="1" customWidth="1"/>
    <col min="11278" max="11278" width="11" style="1" customWidth="1"/>
    <col min="11279" max="11520" width="9.140625" style="1"/>
    <col min="11521" max="11521" width="20.28515625" style="1" customWidth="1"/>
    <col min="11522" max="11523" width="10.28515625" style="1" customWidth="1"/>
    <col min="11524" max="11524" width="9.5703125" style="1" customWidth="1"/>
    <col min="11525" max="11525" width="9.7109375" style="1" customWidth="1"/>
    <col min="11526" max="11527" width="9.85546875" style="1" customWidth="1"/>
    <col min="11528" max="11528" width="9.7109375" style="1" customWidth="1"/>
    <col min="11529" max="11529" width="12" style="1" bestFit="1" customWidth="1"/>
    <col min="11530" max="11530" width="10.28515625" style="1" customWidth="1"/>
    <col min="11531" max="11532" width="9.85546875" style="1" bestFit="1" customWidth="1"/>
    <col min="11533" max="11533" width="9.85546875" style="1" customWidth="1"/>
    <col min="11534" max="11534" width="11" style="1" customWidth="1"/>
    <col min="11535" max="11776" width="9.140625" style="1"/>
    <col min="11777" max="11777" width="20.28515625" style="1" customWidth="1"/>
    <col min="11778" max="11779" width="10.28515625" style="1" customWidth="1"/>
    <col min="11780" max="11780" width="9.5703125" style="1" customWidth="1"/>
    <col min="11781" max="11781" width="9.7109375" style="1" customWidth="1"/>
    <col min="11782" max="11783" width="9.85546875" style="1" customWidth="1"/>
    <col min="11784" max="11784" width="9.7109375" style="1" customWidth="1"/>
    <col min="11785" max="11785" width="12" style="1" bestFit="1" customWidth="1"/>
    <col min="11786" max="11786" width="10.28515625" style="1" customWidth="1"/>
    <col min="11787" max="11788" width="9.85546875" style="1" bestFit="1" customWidth="1"/>
    <col min="11789" max="11789" width="9.85546875" style="1" customWidth="1"/>
    <col min="11790" max="11790" width="11" style="1" customWidth="1"/>
    <col min="11791" max="12032" width="9.140625" style="1"/>
    <col min="12033" max="12033" width="20.28515625" style="1" customWidth="1"/>
    <col min="12034" max="12035" width="10.28515625" style="1" customWidth="1"/>
    <col min="12036" max="12036" width="9.5703125" style="1" customWidth="1"/>
    <col min="12037" max="12037" width="9.7109375" style="1" customWidth="1"/>
    <col min="12038" max="12039" width="9.85546875" style="1" customWidth="1"/>
    <col min="12040" max="12040" width="9.7109375" style="1" customWidth="1"/>
    <col min="12041" max="12041" width="12" style="1" bestFit="1" customWidth="1"/>
    <col min="12042" max="12042" width="10.28515625" style="1" customWidth="1"/>
    <col min="12043" max="12044" width="9.85546875" style="1" bestFit="1" customWidth="1"/>
    <col min="12045" max="12045" width="9.85546875" style="1" customWidth="1"/>
    <col min="12046" max="12046" width="11" style="1" customWidth="1"/>
    <col min="12047" max="12288" width="9.140625" style="1"/>
    <col min="12289" max="12289" width="20.28515625" style="1" customWidth="1"/>
    <col min="12290" max="12291" width="10.28515625" style="1" customWidth="1"/>
    <col min="12292" max="12292" width="9.5703125" style="1" customWidth="1"/>
    <col min="12293" max="12293" width="9.7109375" style="1" customWidth="1"/>
    <col min="12294" max="12295" width="9.85546875" style="1" customWidth="1"/>
    <col min="12296" max="12296" width="9.7109375" style="1" customWidth="1"/>
    <col min="12297" max="12297" width="12" style="1" bestFit="1" customWidth="1"/>
    <col min="12298" max="12298" width="10.28515625" style="1" customWidth="1"/>
    <col min="12299" max="12300" width="9.85546875" style="1" bestFit="1" customWidth="1"/>
    <col min="12301" max="12301" width="9.85546875" style="1" customWidth="1"/>
    <col min="12302" max="12302" width="11" style="1" customWidth="1"/>
    <col min="12303" max="12544" width="9.140625" style="1"/>
    <col min="12545" max="12545" width="20.28515625" style="1" customWidth="1"/>
    <col min="12546" max="12547" width="10.28515625" style="1" customWidth="1"/>
    <col min="12548" max="12548" width="9.5703125" style="1" customWidth="1"/>
    <col min="12549" max="12549" width="9.7109375" style="1" customWidth="1"/>
    <col min="12550" max="12551" width="9.85546875" style="1" customWidth="1"/>
    <col min="12552" max="12552" width="9.7109375" style="1" customWidth="1"/>
    <col min="12553" max="12553" width="12" style="1" bestFit="1" customWidth="1"/>
    <col min="12554" max="12554" width="10.28515625" style="1" customWidth="1"/>
    <col min="12555" max="12556" width="9.85546875" style="1" bestFit="1" customWidth="1"/>
    <col min="12557" max="12557" width="9.85546875" style="1" customWidth="1"/>
    <col min="12558" max="12558" width="11" style="1" customWidth="1"/>
    <col min="12559" max="12800" width="9.140625" style="1"/>
    <col min="12801" max="12801" width="20.28515625" style="1" customWidth="1"/>
    <col min="12802" max="12803" width="10.28515625" style="1" customWidth="1"/>
    <col min="12804" max="12804" width="9.5703125" style="1" customWidth="1"/>
    <col min="12805" max="12805" width="9.7109375" style="1" customWidth="1"/>
    <col min="12806" max="12807" width="9.85546875" style="1" customWidth="1"/>
    <col min="12808" max="12808" width="9.7109375" style="1" customWidth="1"/>
    <col min="12809" max="12809" width="12" style="1" bestFit="1" customWidth="1"/>
    <col min="12810" max="12810" width="10.28515625" style="1" customWidth="1"/>
    <col min="12811" max="12812" width="9.85546875" style="1" bestFit="1" customWidth="1"/>
    <col min="12813" max="12813" width="9.85546875" style="1" customWidth="1"/>
    <col min="12814" max="12814" width="11" style="1" customWidth="1"/>
    <col min="12815" max="13056" width="9.140625" style="1"/>
    <col min="13057" max="13057" width="20.28515625" style="1" customWidth="1"/>
    <col min="13058" max="13059" width="10.28515625" style="1" customWidth="1"/>
    <col min="13060" max="13060" width="9.5703125" style="1" customWidth="1"/>
    <col min="13061" max="13061" width="9.7109375" style="1" customWidth="1"/>
    <col min="13062" max="13063" width="9.85546875" style="1" customWidth="1"/>
    <col min="13064" max="13064" width="9.7109375" style="1" customWidth="1"/>
    <col min="13065" max="13065" width="12" style="1" bestFit="1" customWidth="1"/>
    <col min="13066" max="13066" width="10.28515625" style="1" customWidth="1"/>
    <col min="13067" max="13068" width="9.85546875" style="1" bestFit="1" customWidth="1"/>
    <col min="13069" max="13069" width="9.85546875" style="1" customWidth="1"/>
    <col min="13070" max="13070" width="11" style="1" customWidth="1"/>
    <col min="13071" max="13312" width="9.140625" style="1"/>
    <col min="13313" max="13313" width="20.28515625" style="1" customWidth="1"/>
    <col min="13314" max="13315" width="10.28515625" style="1" customWidth="1"/>
    <col min="13316" max="13316" width="9.5703125" style="1" customWidth="1"/>
    <col min="13317" max="13317" width="9.7109375" style="1" customWidth="1"/>
    <col min="13318" max="13319" width="9.85546875" style="1" customWidth="1"/>
    <col min="13320" max="13320" width="9.7109375" style="1" customWidth="1"/>
    <col min="13321" max="13321" width="12" style="1" bestFit="1" customWidth="1"/>
    <col min="13322" max="13322" width="10.28515625" style="1" customWidth="1"/>
    <col min="13323" max="13324" width="9.85546875" style="1" bestFit="1" customWidth="1"/>
    <col min="13325" max="13325" width="9.85546875" style="1" customWidth="1"/>
    <col min="13326" max="13326" width="11" style="1" customWidth="1"/>
    <col min="13327" max="13568" width="9.140625" style="1"/>
    <col min="13569" max="13569" width="20.28515625" style="1" customWidth="1"/>
    <col min="13570" max="13571" width="10.28515625" style="1" customWidth="1"/>
    <col min="13572" max="13572" width="9.5703125" style="1" customWidth="1"/>
    <col min="13573" max="13573" width="9.7109375" style="1" customWidth="1"/>
    <col min="13574" max="13575" width="9.85546875" style="1" customWidth="1"/>
    <col min="13576" max="13576" width="9.7109375" style="1" customWidth="1"/>
    <col min="13577" max="13577" width="12" style="1" bestFit="1" customWidth="1"/>
    <col min="13578" max="13578" width="10.28515625" style="1" customWidth="1"/>
    <col min="13579" max="13580" width="9.85546875" style="1" bestFit="1" customWidth="1"/>
    <col min="13581" max="13581" width="9.85546875" style="1" customWidth="1"/>
    <col min="13582" max="13582" width="11" style="1" customWidth="1"/>
    <col min="13583" max="13824" width="9.140625" style="1"/>
    <col min="13825" max="13825" width="20.28515625" style="1" customWidth="1"/>
    <col min="13826" max="13827" width="10.28515625" style="1" customWidth="1"/>
    <col min="13828" max="13828" width="9.5703125" style="1" customWidth="1"/>
    <col min="13829" max="13829" width="9.7109375" style="1" customWidth="1"/>
    <col min="13830" max="13831" width="9.85546875" style="1" customWidth="1"/>
    <col min="13832" max="13832" width="9.7109375" style="1" customWidth="1"/>
    <col min="13833" max="13833" width="12" style="1" bestFit="1" customWidth="1"/>
    <col min="13834" max="13834" width="10.28515625" style="1" customWidth="1"/>
    <col min="13835" max="13836" width="9.85546875" style="1" bestFit="1" customWidth="1"/>
    <col min="13837" max="13837" width="9.85546875" style="1" customWidth="1"/>
    <col min="13838" max="13838" width="11" style="1" customWidth="1"/>
    <col min="13839" max="14080" width="9.140625" style="1"/>
    <col min="14081" max="14081" width="20.28515625" style="1" customWidth="1"/>
    <col min="14082" max="14083" width="10.28515625" style="1" customWidth="1"/>
    <col min="14084" max="14084" width="9.5703125" style="1" customWidth="1"/>
    <col min="14085" max="14085" width="9.7109375" style="1" customWidth="1"/>
    <col min="14086" max="14087" width="9.85546875" style="1" customWidth="1"/>
    <col min="14088" max="14088" width="9.7109375" style="1" customWidth="1"/>
    <col min="14089" max="14089" width="12" style="1" bestFit="1" customWidth="1"/>
    <col min="14090" max="14090" width="10.28515625" style="1" customWidth="1"/>
    <col min="14091" max="14092" width="9.85546875" style="1" bestFit="1" customWidth="1"/>
    <col min="14093" max="14093" width="9.85546875" style="1" customWidth="1"/>
    <col min="14094" max="14094" width="11" style="1" customWidth="1"/>
    <col min="14095" max="14336" width="9.140625" style="1"/>
    <col min="14337" max="14337" width="20.28515625" style="1" customWidth="1"/>
    <col min="14338" max="14339" width="10.28515625" style="1" customWidth="1"/>
    <col min="14340" max="14340" width="9.5703125" style="1" customWidth="1"/>
    <col min="14341" max="14341" width="9.7109375" style="1" customWidth="1"/>
    <col min="14342" max="14343" width="9.85546875" style="1" customWidth="1"/>
    <col min="14344" max="14344" width="9.7109375" style="1" customWidth="1"/>
    <col min="14345" max="14345" width="12" style="1" bestFit="1" customWidth="1"/>
    <col min="14346" max="14346" width="10.28515625" style="1" customWidth="1"/>
    <col min="14347" max="14348" width="9.85546875" style="1" bestFit="1" customWidth="1"/>
    <col min="14349" max="14349" width="9.85546875" style="1" customWidth="1"/>
    <col min="14350" max="14350" width="11" style="1" customWidth="1"/>
    <col min="14351" max="14592" width="9.140625" style="1"/>
    <col min="14593" max="14593" width="20.28515625" style="1" customWidth="1"/>
    <col min="14594" max="14595" width="10.28515625" style="1" customWidth="1"/>
    <col min="14596" max="14596" width="9.5703125" style="1" customWidth="1"/>
    <col min="14597" max="14597" width="9.7109375" style="1" customWidth="1"/>
    <col min="14598" max="14599" width="9.85546875" style="1" customWidth="1"/>
    <col min="14600" max="14600" width="9.7109375" style="1" customWidth="1"/>
    <col min="14601" max="14601" width="12" style="1" bestFit="1" customWidth="1"/>
    <col min="14602" max="14602" width="10.28515625" style="1" customWidth="1"/>
    <col min="14603" max="14604" width="9.85546875" style="1" bestFit="1" customWidth="1"/>
    <col min="14605" max="14605" width="9.85546875" style="1" customWidth="1"/>
    <col min="14606" max="14606" width="11" style="1" customWidth="1"/>
    <col min="14607" max="14848" width="9.140625" style="1"/>
    <col min="14849" max="14849" width="20.28515625" style="1" customWidth="1"/>
    <col min="14850" max="14851" width="10.28515625" style="1" customWidth="1"/>
    <col min="14852" max="14852" width="9.5703125" style="1" customWidth="1"/>
    <col min="14853" max="14853" width="9.7109375" style="1" customWidth="1"/>
    <col min="14854" max="14855" width="9.85546875" style="1" customWidth="1"/>
    <col min="14856" max="14856" width="9.7109375" style="1" customWidth="1"/>
    <col min="14857" max="14857" width="12" style="1" bestFit="1" customWidth="1"/>
    <col min="14858" max="14858" width="10.28515625" style="1" customWidth="1"/>
    <col min="14859" max="14860" width="9.85546875" style="1" bestFit="1" customWidth="1"/>
    <col min="14861" max="14861" width="9.85546875" style="1" customWidth="1"/>
    <col min="14862" max="14862" width="11" style="1" customWidth="1"/>
    <col min="14863" max="15104" width="9.140625" style="1"/>
    <col min="15105" max="15105" width="20.28515625" style="1" customWidth="1"/>
    <col min="15106" max="15107" width="10.28515625" style="1" customWidth="1"/>
    <col min="15108" max="15108" width="9.5703125" style="1" customWidth="1"/>
    <col min="15109" max="15109" width="9.7109375" style="1" customWidth="1"/>
    <col min="15110" max="15111" width="9.85546875" style="1" customWidth="1"/>
    <col min="15112" max="15112" width="9.7109375" style="1" customWidth="1"/>
    <col min="15113" max="15113" width="12" style="1" bestFit="1" customWidth="1"/>
    <col min="15114" max="15114" width="10.28515625" style="1" customWidth="1"/>
    <col min="15115" max="15116" width="9.85546875" style="1" bestFit="1" customWidth="1"/>
    <col min="15117" max="15117" width="9.85546875" style="1" customWidth="1"/>
    <col min="15118" max="15118" width="11" style="1" customWidth="1"/>
    <col min="15119" max="15360" width="9.140625" style="1"/>
    <col min="15361" max="15361" width="20.28515625" style="1" customWidth="1"/>
    <col min="15362" max="15363" width="10.28515625" style="1" customWidth="1"/>
    <col min="15364" max="15364" width="9.5703125" style="1" customWidth="1"/>
    <col min="15365" max="15365" width="9.7109375" style="1" customWidth="1"/>
    <col min="15366" max="15367" width="9.85546875" style="1" customWidth="1"/>
    <col min="15368" max="15368" width="9.7109375" style="1" customWidth="1"/>
    <col min="15369" max="15369" width="12" style="1" bestFit="1" customWidth="1"/>
    <col min="15370" max="15370" width="10.28515625" style="1" customWidth="1"/>
    <col min="15371" max="15372" width="9.85546875" style="1" bestFit="1" customWidth="1"/>
    <col min="15373" max="15373" width="9.85546875" style="1" customWidth="1"/>
    <col min="15374" max="15374" width="11" style="1" customWidth="1"/>
    <col min="15375" max="15616" width="9.140625" style="1"/>
    <col min="15617" max="15617" width="20.28515625" style="1" customWidth="1"/>
    <col min="15618" max="15619" width="10.28515625" style="1" customWidth="1"/>
    <col min="15620" max="15620" width="9.5703125" style="1" customWidth="1"/>
    <col min="15621" max="15621" width="9.7109375" style="1" customWidth="1"/>
    <col min="15622" max="15623" width="9.85546875" style="1" customWidth="1"/>
    <col min="15624" max="15624" width="9.7109375" style="1" customWidth="1"/>
    <col min="15625" max="15625" width="12" style="1" bestFit="1" customWidth="1"/>
    <col min="15626" max="15626" width="10.28515625" style="1" customWidth="1"/>
    <col min="15627" max="15628" width="9.85546875" style="1" bestFit="1" customWidth="1"/>
    <col min="15629" max="15629" width="9.85546875" style="1" customWidth="1"/>
    <col min="15630" max="15630" width="11" style="1" customWidth="1"/>
    <col min="15631" max="15872" width="9.140625" style="1"/>
    <col min="15873" max="15873" width="20.28515625" style="1" customWidth="1"/>
    <col min="15874" max="15875" width="10.28515625" style="1" customWidth="1"/>
    <col min="15876" max="15876" width="9.5703125" style="1" customWidth="1"/>
    <col min="15877" max="15877" width="9.7109375" style="1" customWidth="1"/>
    <col min="15878" max="15879" width="9.85546875" style="1" customWidth="1"/>
    <col min="15880" max="15880" width="9.7109375" style="1" customWidth="1"/>
    <col min="15881" max="15881" width="12" style="1" bestFit="1" customWidth="1"/>
    <col min="15882" max="15882" width="10.28515625" style="1" customWidth="1"/>
    <col min="15883" max="15884" width="9.85546875" style="1" bestFit="1" customWidth="1"/>
    <col min="15885" max="15885" width="9.85546875" style="1" customWidth="1"/>
    <col min="15886" max="15886" width="11" style="1" customWidth="1"/>
    <col min="15887" max="16128" width="9.140625" style="1"/>
    <col min="16129" max="16129" width="20.28515625" style="1" customWidth="1"/>
    <col min="16130" max="16131" width="10.28515625" style="1" customWidth="1"/>
    <col min="16132" max="16132" width="9.5703125" style="1" customWidth="1"/>
    <col min="16133" max="16133" width="9.7109375" style="1" customWidth="1"/>
    <col min="16134" max="16135" width="9.85546875" style="1" customWidth="1"/>
    <col min="16136" max="16136" width="9.7109375" style="1" customWidth="1"/>
    <col min="16137" max="16137" width="12" style="1" bestFit="1" customWidth="1"/>
    <col min="16138" max="16138" width="10.28515625" style="1" customWidth="1"/>
    <col min="16139" max="16140" width="9.85546875" style="1" bestFit="1" customWidth="1"/>
    <col min="16141" max="16141" width="9.85546875" style="1" customWidth="1"/>
    <col min="16142" max="16142" width="11" style="1" customWidth="1"/>
    <col min="16143" max="16384" width="9.140625" style="1"/>
  </cols>
  <sheetData>
    <row r="1" spans="1:14" ht="18" customHeight="1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4"/>
    </row>
    <row r="2" spans="1:14" ht="16.5" thickBot="1">
      <c r="A2" s="42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5"/>
    </row>
    <row r="3" spans="1:14">
      <c r="A3" s="7" t="s">
        <v>0</v>
      </c>
      <c r="B3" s="8">
        <v>44197</v>
      </c>
      <c r="C3" s="8">
        <v>44228</v>
      </c>
      <c r="D3" s="8">
        <v>44256</v>
      </c>
      <c r="E3" s="8">
        <v>44287</v>
      </c>
      <c r="F3" s="8">
        <v>44317</v>
      </c>
      <c r="G3" s="8">
        <v>44348</v>
      </c>
      <c r="H3" s="8">
        <v>44378</v>
      </c>
      <c r="I3" s="8">
        <v>44409</v>
      </c>
      <c r="J3" s="8">
        <v>44440</v>
      </c>
      <c r="K3" s="8">
        <v>44470</v>
      </c>
      <c r="L3" s="8">
        <v>44501</v>
      </c>
      <c r="M3" s="8">
        <v>44531</v>
      </c>
      <c r="N3" s="20" t="s">
        <v>1</v>
      </c>
    </row>
    <row r="4" spans="1:14">
      <c r="A4" s="2" t="s">
        <v>2</v>
      </c>
      <c r="B4" s="10">
        <f>573.44</f>
        <v>573.44000000000005</v>
      </c>
      <c r="C4" s="10">
        <f>102448.72+1175.31</f>
        <v>103624.03</v>
      </c>
      <c r="D4" s="10">
        <f>102281.94+1919.38</f>
        <v>104201.32</v>
      </c>
      <c r="E4" s="10">
        <f>102185.39+959.69</f>
        <v>103145.08</v>
      </c>
      <c r="F4" s="10">
        <f>103092.29+1078.1</f>
        <v>104170.39</v>
      </c>
      <c r="G4" s="10">
        <f>101589.36+1175.31</f>
        <v>102764.67</v>
      </c>
      <c r="H4" s="10">
        <f>102881.65+1175.31</f>
        <v>104056.95999999999</v>
      </c>
      <c r="I4" s="10">
        <f>101775.93+1175.31</f>
        <v>102951.23999999999</v>
      </c>
      <c r="J4" s="10">
        <f>100972.76+1175.31</f>
        <v>102148.06999999999</v>
      </c>
      <c r="K4" s="10">
        <f>100812.81+959.69</f>
        <v>101772.5</v>
      </c>
      <c r="L4" s="10">
        <f>100143.1+959.69</f>
        <v>101102.79000000001</v>
      </c>
      <c r="M4" s="10">
        <f>322880.98+3615.47</f>
        <v>326496.44999999995</v>
      </c>
      <c r="N4" s="10">
        <f>SUM(B4:M4)</f>
        <v>1357006.94</v>
      </c>
    </row>
    <row r="5" spans="1:14">
      <c r="A5" s="2" t="s">
        <v>3</v>
      </c>
      <c r="B5" s="10">
        <v>795.03</v>
      </c>
      <c r="C5" s="10">
        <f>208.94+141828.71</f>
        <v>142037.65</v>
      </c>
      <c r="D5" s="10">
        <f>208.94+141597.46</f>
        <v>141806.39999999999</v>
      </c>
      <c r="E5" s="10">
        <f>208.94+141463.61</f>
        <v>141672.54999999999</v>
      </c>
      <c r="F5" s="10">
        <f>1033.06+142217.74</f>
        <v>143250.79999999999</v>
      </c>
      <c r="G5" s="10">
        <f>208.94+140316.34</f>
        <v>140525.28</v>
      </c>
      <c r="H5" s="10">
        <f>208.94+142428.92</f>
        <v>142637.86000000002</v>
      </c>
      <c r="I5" s="10">
        <f>208.94+140895.91</f>
        <v>141104.85</v>
      </c>
      <c r="J5" s="10">
        <f>208.94+139782.38</f>
        <v>139991.32</v>
      </c>
      <c r="K5" s="10">
        <f>208.94+139560.63</f>
        <v>139769.57</v>
      </c>
      <c r="L5" s="10">
        <f>208.94+138632.1</f>
        <v>138841.04</v>
      </c>
      <c r="M5" s="10">
        <f>417.88+447233.31</f>
        <v>447651.19</v>
      </c>
      <c r="N5" s="10">
        <f t="shared" ref="N5:N23" si="0">SUM(B5:M5)</f>
        <v>1860083.54</v>
      </c>
    </row>
    <row r="6" spans="1:14">
      <c r="A6" s="2" t="s">
        <v>4</v>
      </c>
      <c r="B6" s="10">
        <v>1178.03</v>
      </c>
      <c r="C6" s="10">
        <f>57988.33</f>
        <v>57988.33</v>
      </c>
      <c r="D6" s="10">
        <f>58037.26</f>
        <v>58037.26</v>
      </c>
      <c r="E6" s="10">
        <f>58318.68</f>
        <v>58318.68</v>
      </c>
      <c r="F6" s="10">
        <f>58280.57</f>
        <v>58280.57</v>
      </c>
      <c r="G6" s="10">
        <f>59206.58</f>
        <v>59206.58</v>
      </c>
      <c r="H6" s="10">
        <f>59171.24</f>
        <v>59171.24</v>
      </c>
      <c r="I6" s="10">
        <f>59458.18</f>
        <v>59458.18</v>
      </c>
      <c r="J6" s="10">
        <f>59746.53</f>
        <v>59746.53</v>
      </c>
      <c r="K6" s="10">
        <f>60036.29</f>
        <v>60036.29</v>
      </c>
      <c r="L6" s="10">
        <v>60327.44</v>
      </c>
      <c r="M6" s="10">
        <f>60620.03</f>
        <v>60620.03</v>
      </c>
      <c r="N6" s="10">
        <f t="shared" si="0"/>
        <v>652369.16000000015</v>
      </c>
    </row>
    <row r="7" spans="1:14">
      <c r="A7" s="2" t="s">
        <v>5</v>
      </c>
      <c r="B7" s="10">
        <v>0</v>
      </c>
      <c r="C7" s="10">
        <f>1492.62+559.69</f>
        <v>2052.31</v>
      </c>
      <c r="D7" s="10">
        <f>1492.62+568.25</f>
        <v>2060.87</v>
      </c>
      <c r="E7" s="10">
        <f>1492.62+599.77</f>
        <v>2092.39</v>
      </c>
      <c r="F7" s="10">
        <f>1492.62+627.84</f>
        <v>2120.46</v>
      </c>
      <c r="G7" s="10">
        <f>1492.62+643.32</f>
        <v>2135.94</v>
      </c>
      <c r="H7" s="10">
        <f>1492.62+669.84</f>
        <v>2162.46</v>
      </c>
      <c r="I7" s="10">
        <f>1492.62+708.46</f>
        <v>2201.08</v>
      </c>
      <c r="J7" s="10">
        <f>1492.62+720</f>
        <v>2212.62</v>
      </c>
      <c r="K7" s="10">
        <f>1492.62+748.42</f>
        <v>2241.04</v>
      </c>
      <c r="L7" s="10">
        <f>1492.62+757.45</f>
        <v>2250.0699999999997</v>
      </c>
      <c r="M7" s="10">
        <f>1492.62+821.24</f>
        <v>2313.8599999999997</v>
      </c>
      <c r="N7" s="10">
        <f t="shared" si="0"/>
        <v>23843.100000000002</v>
      </c>
    </row>
    <row r="8" spans="1:14">
      <c r="A8" s="2" t="s">
        <v>6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3767.25</v>
      </c>
      <c r="J8" s="10">
        <v>0</v>
      </c>
      <c r="K8" s="10">
        <v>10.45</v>
      </c>
      <c r="L8" s="10">
        <v>0</v>
      </c>
      <c r="M8" s="10">
        <v>0</v>
      </c>
      <c r="N8" s="10">
        <f t="shared" si="0"/>
        <v>3777.7</v>
      </c>
    </row>
    <row r="9" spans="1:14">
      <c r="A9" s="2" t="s">
        <v>7</v>
      </c>
      <c r="B9" s="32">
        <v>-174849.26</v>
      </c>
      <c r="C9" s="33">
        <f>7596.24-7596.24-243906.06</f>
        <v>-243906.06</v>
      </c>
      <c r="D9" s="10">
        <f>145535.88-29704.73</f>
        <v>115831.15000000001</v>
      </c>
      <c r="E9" s="10">
        <f>287974.32</f>
        <v>287974.32</v>
      </c>
      <c r="F9" s="10">
        <f>365869.88</f>
        <v>365869.88</v>
      </c>
      <c r="G9" s="10">
        <f>65009.75-37575.1</f>
        <v>27434.65</v>
      </c>
      <c r="H9" s="33">
        <f>-252506.11</f>
        <v>-252506.11</v>
      </c>
      <c r="I9" s="33">
        <f>34597.97-34597.97-231760.92</f>
        <v>-231760.92</v>
      </c>
      <c r="J9" s="33">
        <f>112936.44-112936.44-227853</f>
        <v>-227853</v>
      </c>
      <c r="K9" s="33">
        <v>-499358.58</v>
      </c>
      <c r="L9" s="10">
        <f>382355.12-92000.67</f>
        <v>290354.45</v>
      </c>
      <c r="M9" s="10">
        <f>277897.27-8423.71</f>
        <v>269473.56</v>
      </c>
      <c r="N9" s="10">
        <f>SUM(B9:M9)</f>
        <v>-273295.92</v>
      </c>
    </row>
    <row r="10" spans="1:14">
      <c r="A10" s="2" t="s">
        <v>8</v>
      </c>
      <c r="B10" s="1">
        <v>0</v>
      </c>
      <c r="C10" s="12">
        <f>4746.43</f>
        <v>4746.43</v>
      </c>
      <c r="D10" s="12">
        <f>5005.06</f>
        <v>5005.0600000000004</v>
      </c>
      <c r="E10" s="12">
        <v>5005.0600000000004</v>
      </c>
      <c r="F10" s="12">
        <v>5005.0600000000004</v>
      </c>
      <c r="G10" s="12">
        <f>5005.06</f>
        <v>5005.0600000000004</v>
      </c>
      <c r="H10" s="10">
        <v>0</v>
      </c>
      <c r="I10" s="10">
        <f>10010.12</f>
        <v>10010.120000000001</v>
      </c>
      <c r="J10" s="10">
        <v>5005.0600000000004</v>
      </c>
      <c r="K10" s="10">
        <v>5005.0600000000004</v>
      </c>
      <c r="L10" s="10">
        <v>5005.0600000000004</v>
      </c>
      <c r="M10" s="10">
        <v>10010.120000000001</v>
      </c>
      <c r="N10" s="10">
        <f t="shared" si="0"/>
        <v>59802.090000000004</v>
      </c>
    </row>
    <row r="11" spans="1:14">
      <c r="A11" s="3" t="s">
        <v>9</v>
      </c>
      <c r="B11" s="13">
        <f>SUM(B4:B9)</f>
        <v>-172302.76</v>
      </c>
      <c r="C11" s="13">
        <f t="shared" ref="C11:M11" si="1">SUM(C4:C10)</f>
        <v>66542.69</v>
      </c>
      <c r="D11" s="13">
        <f t="shared" ref="D11" si="2">SUM(D4:D10)</f>
        <v>426942.06</v>
      </c>
      <c r="E11" s="13">
        <f t="shared" si="1"/>
        <v>598208.08000000007</v>
      </c>
      <c r="F11" s="13">
        <f>SUM(F4:F10)</f>
        <v>678697.16000000015</v>
      </c>
      <c r="G11" s="13">
        <f t="shared" si="1"/>
        <v>337072.18000000005</v>
      </c>
      <c r="H11" s="13">
        <f t="shared" si="1"/>
        <v>55522.410000000033</v>
      </c>
      <c r="I11" s="13">
        <f>SUM(I4:I10)</f>
        <v>87731.800000000017</v>
      </c>
      <c r="J11" s="13">
        <f t="shared" si="1"/>
        <v>81250.600000000035</v>
      </c>
      <c r="K11" s="13">
        <f t="shared" si="1"/>
        <v>-190523.67000000004</v>
      </c>
      <c r="L11" s="13">
        <f t="shared" si="1"/>
        <v>597880.85000000009</v>
      </c>
      <c r="M11" s="13">
        <f t="shared" si="1"/>
        <v>1116565.21</v>
      </c>
      <c r="N11" s="21">
        <f t="shared" si="0"/>
        <v>3683586.6100000003</v>
      </c>
    </row>
    <row r="12" spans="1:14">
      <c r="A12" s="2" t="s">
        <v>10</v>
      </c>
      <c r="B12" s="10">
        <v>0</v>
      </c>
      <c r="C12" s="10">
        <v>27276.91</v>
      </c>
      <c r="D12" s="10">
        <v>54553.82</v>
      </c>
      <c r="E12" s="10">
        <v>26250.240000000002</v>
      </c>
      <c r="F12" s="10">
        <v>25768.81</v>
      </c>
      <c r="G12" s="10">
        <v>0</v>
      </c>
      <c r="H12" s="10">
        <v>52145.96</v>
      </c>
      <c r="I12" s="10">
        <v>0</v>
      </c>
      <c r="J12" s="10">
        <v>24216.16</v>
      </c>
      <c r="K12" s="10">
        <v>24216.16</v>
      </c>
      <c r="L12" s="10">
        <v>24216.16</v>
      </c>
      <c r="M12" s="10">
        <v>77488.570000000007</v>
      </c>
      <c r="N12" s="10">
        <f t="shared" si="0"/>
        <v>336132.79000000004</v>
      </c>
    </row>
    <row r="13" spans="1:14">
      <c r="A13" s="2" t="s">
        <v>11</v>
      </c>
      <c r="B13" s="10">
        <v>0</v>
      </c>
      <c r="C13" s="10">
        <f>61533.07-C12</f>
        <v>34256.160000000003</v>
      </c>
      <c r="D13" s="10">
        <f>123770.55-D12</f>
        <v>69216.73000000001</v>
      </c>
      <c r="E13" s="10">
        <f>58092.33-E12</f>
        <v>31842.09</v>
      </c>
      <c r="F13" s="10">
        <f>30911.46-F12</f>
        <v>5142.6499999999978</v>
      </c>
      <c r="G13" s="10">
        <v>36052.160000000003</v>
      </c>
      <c r="H13" s="10">
        <f t="shared" ref="H13:M13" si="3">H14-H12</f>
        <v>39281.299999999996</v>
      </c>
      <c r="I13" s="10">
        <f t="shared" si="3"/>
        <v>75076.36</v>
      </c>
      <c r="J13" s="10">
        <f t="shared" si="3"/>
        <v>4321.5299999999988</v>
      </c>
      <c r="K13" s="10">
        <f t="shared" si="3"/>
        <v>39273.449999999997</v>
      </c>
      <c r="L13" s="10">
        <f t="shared" si="3"/>
        <v>38747.380000000005</v>
      </c>
      <c r="M13" s="18">
        <f t="shared" si="3"/>
        <v>94779.609999999986</v>
      </c>
      <c r="N13" s="10">
        <f t="shared" si="0"/>
        <v>467989.42</v>
      </c>
    </row>
    <row r="14" spans="1:14">
      <c r="A14" s="3" t="s">
        <v>12</v>
      </c>
      <c r="B14" s="15">
        <f>B12+B13</f>
        <v>0</v>
      </c>
      <c r="C14" s="15">
        <f t="shared" ref="C14:G14" si="4">C12+C13</f>
        <v>61533.070000000007</v>
      </c>
      <c r="D14" s="15">
        <f t="shared" ref="D14" si="5">D12+D13</f>
        <v>123770.55000000002</v>
      </c>
      <c r="E14" s="15">
        <f t="shared" si="4"/>
        <v>58092.33</v>
      </c>
      <c r="F14" s="15">
        <f t="shared" si="4"/>
        <v>30911.46</v>
      </c>
      <c r="G14" s="15">
        <f t="shared" si="4"/>
        <v>36052.160000000003</v>
      </c>
      <c r="H14" s="15">
        <v>91427.26</v>
      </c>
      <c r="I14" s="15">
        <v>75076.36</v>
      </c>
      <c r="J14" s="15">
        <v>28537.69</v>
      </c>
      <c r="K14" s="15">
        <v>63489.61</v>
      </c>
      <c r="L14" s="15">
        <v>62963.54</v>
      </c>
      <c r="M14" s="15">
        <f>172268.18</f>
        <v>172268.18</v>
      </c>
      <c r="N14" s="15">
        <f t="shared" si="0"/>
        <v>804122.2100000002</v>
      </c>
    </row>
    <row r="15" spans="1:14">
      <c r="A15" s="3" t="s">
        <v>13</v>
      </c>
      <c r="B15" s="13">
        <f>B11+B14</f>
        <v>-172302.76</v>
      </c>
      <c r="C15" s="13">
        <f>C11+C14</f>
        <v>128075.76000000001</v>
      </c>
      <c r="D15" s="13">
        <f t="shared" ref="D15" si="6">D11+D14</f>
        <v>550712.61</v>
      </c>
      <c r="E15" s="13">
        <f>E11+E14</f>
        <v>656300.41</v>
      </c>
      <c r="F15" s="13">
        <f t="shared" ref="F15:M15" si="7">F11+F14</f>
        <v>709608.62000000011</v>
      </c>
      <c r="G15" s="13">
        <f>G11+G14</f>
        <v>373124.34000000008</v>
      </c>
      <c r="H15" s="13">
        <f>H11+H14</f>
        <v>146949.67000000004</v>
      </c>
      <c r="I15" s="13">
        <f>I11+I14</f>
        <v>162808.16000000003</v>
      </c>
      <c r="J15" s="13">
        <f>J11+J14</f>
        <v>109788.29000000004</v>
      </c>
      <c r="K15" s="13">
        <f t="shared" si="7"/>
        <v>-127034.06000000004</v>
      </c>
      <c r="L15" s="13">
        <f t="shared" si="7"/>
        <v>660844.39000000013</v>
      </c>
      <c r="M15" s="13">
        <f t="shared" si="7"/>
        <v>1288833.3899999999</v>
      </c>
      <c r="N15" s="10">
        <f t="shared" si="0"/>
        <v>4487708.82</v>
      </c>
    </row>
    <row r="16" spans="1:14">
      <c r="A16" s="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0">
        <f t="shared" si="0"/>
        <v>0</v>
      </c>
    </row>
    <row r="17" spans="1:17">
      <c r="A17" s="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1:17">
      <c r="A18" s="2" t="s">
        <v>15</v>
      </c>
      <c r="B18" s="10">
        <v>0</v>
      </c>
      <c r="C18" s="11">
        <f>20537.19+6739.72</f>
        <v>27276.91</v>
      </c>
      <c r="D18" s="10">
        <f>41074.38+13479.44</f>
        <v>54553.82</v>
      </c>
      <c r="E18" s="10">
        <v>0</v>
      </c>
      <c r="F18" s="10">
        <v>26525.24</v>
      </c>
      <c r="G18" s="10">
        <f>20304.4+6739.72</f>
        <v>27044.120000000003</v>
      </c>
      <c r="H18" s="10">
        <f>16376.44+10003.05</f>
        <v>26379.489999999998</v>
      </c>
      <c r="I18" s="10">
        <f>24216.16</f>
        <v>24216.16</v>
      </c>
      <c r="J18" s="10">
        <v>24216.16</v>
      </c>
      <c r="K18" s="10">
        <f>24216.16</f>
        <v>24216.16</v>
      </c>
      <c r="L18" s="10">
        <f>24216.16</f>
        <v>24216.16</v>
      </c>
      <c r="M18" s="10">
        <f>53553.9+23934.67</f>
        <v>77488.570000000007</v>
      </c>
      <c r="N18" s="10">
        <f t="shared" si="0"/>
        <v>336132.79000000004</v>
      </c>
    </row>
    <row r="19" spans="1:17">
      <c r="A19" s="2" t="s">
        <v>16</v>
      </c>
      <c r="B19" s="10">
        <v>0</v>
      </c>
      <c r="C19" s="10">
        <f>169507.76</f>
        <v>169507.76</v>
      </c>
      <c r="D19" s="10">
        <f>337007.57</f>
        <v>337007.57</v>
      </c>
      <c r="E19" s="10">
        <v>55519.14</v>
      </c>
      <c r="F19" s="10">
        <v>113248</v>
      </c>
      <c r="G19" s="10">
        <f>169547.33</f>
        <v>169547.33</v>
      </c>
      <c r="H19" s="10">
        <f>170437.6</f>
        <v>170437.6</v>
      </c>
      <c r="I19" s="10">
        <v>208498.64</v>
      </c>
      <c r="J19" s="10">
        <f>134725.22</f>
        <v>134725.22</v>
      </c>
      <c r="K19" s="10">
        <f>171462.78</f>
        <v>171462.78</v>
      </c>
      <c r="L19" s="10">
        <f>172067.78</f>
        <v>172067.78</v>
      </c>
      <c r="M19" s="10">
        <f>564513.57</f>
        <v>564513.56999999995</v>
      </c>
      <c r="N19" s="10">
        <f t="shared" si="0"/>
        <v>2266535.39</v>
      </c>
      <c r="O19" s="5"/>
    </row>
    <row r="20" spans="1:17">
      <c r="A20" s="2" t="s">
        <v>17</v>
      </c>
      <c r="B20" s="10">
        <v>0</v>
      </c>
      <c r="C20" s="10">
        <v>20593.669999999998</v>
      </c>
      <c r="D20" s="10">
        <v>42844.45</v>
      </c>
      <c r="E20" s="10">
        <v>0</v>
      </c>
      <c r="F20" s="10">
        <v>25687.86</v>
      </c>
      <c r="G20" s="10">
        <f>23460.78</f>
        <v>23460.78</v>
      </c>
      <c r="H20" s="10">
        <v>23460.78</v>
      </c>
      <c r="I20" s="10">
        <v>27568.12</v>
      </c>
      <c r="J20" s="10">
        <f>25183.35</f>
        <v>25183.35</v>
      </c>
      <c r="K20" s="10">
        <f>25183.35</f>
        <v>25183.35</v>
      </c>
      <c r="L20" s="10">
        <f>25183.35</f>
        <v>25183.35</v>
      </c>
      <c r="M20" s="10">
        <f>76227.4</f>
        <v>76227.399999999994</v>
      </c>
      <c r="N20" s="10">
        <f t="shared" si="0"/>
        <v>315393.11</v>
      </c>
      <c r="Q20" s="5"/>
    </row>
    <row r="21" spans="1:17">
      <c r="A21" s="2" t="s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">
        <v>0</v>
      </c>
      <c r="N21" s="10">
        <f t="shared" si="0"/>
        <v>0</v>
      </c>
    </row>
    <row r="22" spans="1:17">
      <c r="A22" s="2" t="s">
        <v>19</v>
      </c>
      <c r="B22" s="10">
        <v>0</v>
      </c>
      <c r="C22" s="10">
        <f>2822.84+495.36+6960+880</f>
        <v>11158.2</v>
      </c>
      <c r="D22" s="10">
        <f>6028.45+13183+1100+550</f>
        <v>20861.45</v>
      </c>
      <c r="E22" s="10">
        <v>7746.74</v>
      </c>
      <c r="F22" s="10">
        <v>9314.69</v>
      </c>
      <c r="G22" s="10">
        <f>2950.43+884.1+1504.26+660</f>
        <v>5998.79</v>
      </c>
      <c r="H22" s="10">
        <f>2950.43+495+10628.26+1780</f>
        <v>15853.69</v>
      </c>
      <c r="I22" s="10">
        <f>11036.58</f>
        <v>11036.58</v>
      </c>
      <c r="J22" s="18">
        <f>10725.77</f>
        <v>10725.77</v>
      </c>
      <c r="K22" s="10">
        <v>10980.95</v>
      </c>
      <c r="L22" s="10">
        <v>11501.5</v>
      </c>
      <c r="M22" s="10">
        <f>8851.29+770+12971.1+3620</f>
        <v>26212.39</v>
      </c>
      <c r="N22" s="10">
        <f>SUM(B22:M22)</f>
        <v>141390.75</v>
      </c>
    </row>
    <row r="23" spans="1:17">
      <c r="A23" s="2" t="s">
        <v>20</v>
      </c>
      <c r="B23" s="10">
        <v>0</v>
      </c>
      <c r="C23" s="11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8">
        <v>0</v>
      </c>
      <c r="K23" s="10">
        <v>0</v>
      </c>
      <c r="L23" s="10">
        <v>0</v>
      </c>
      <c r="M23" s="10"/>
      <c r="N23" s="10">
        <f t="shared" si="0"/>
        <v>0</v>
      </c>
    </row>
    <row r="24" spans="1:17">
      <c r="A24" s="2" t="s">
        <v>21</v>
      </c>
      <c r="B24" s="13">
        <f t="shared" ref="B24:H24" si="8">SUM(B18:B23)</f>
        <v>0</v>
      </c>
      <c r="C24" s="19">
        <f t="shared" si="8"/>
        <v>228536.54000000004</v>
      </c>
      <c r="D24" s="19">
        <f>SUM(D18:D23)</f>
        <v>455267.29000000004</v>
      </c>
      <c r="E24" s="19">
        <f t="shared" si="8"/>
        <v>63265.88</v>
      </c>
      <c r="F24" s="19">
        <f t="shared" si="8"/>
        <v>174775.78999999998</v>
      </c>
      <c r="G24" s="19">
        <f t="shared" si="8"/>
        <v>226051.02</v>
      </c>
      <c r="H24" s="19">
        <f t="shared" si="8"/>
        <v>236131.56</v>
      </c>
      <c r="I24" s="19">
        <f>SUM(I18:I23)</f>
        <v>271319.5</v>
      </c>
      <c r="J24" s="19">
        <f>SUM(J18:J23)</f>
        <v>194850.5</v>
      </c>
      <c r="K24" s="19">
        <f>SUM(K18:K23)</f>
        <v>231843.24000000002</v>
      </c>
      <c r="L24" s="19">
        <f>SUM(L18:L23)</f>
        <v>232968.79</v>
      </c>
      <c r="M24" s="19">
        <f>SUM(M18:M23)</f>
        <v>744441.92999999993</v>
      </c>
      <c r="N24" s="19">
        <f>SUM(B24:M24)</f>
        <v>3059452.04</v>
      </c>
    </row>
    <row r="25" spans="1:17">
      <c r="A25" s="2" t="s">
        <v>22</v>
      </c>
      <c r="B25" s="10">
        <v>0</v>
      </c>
      <c r="C25" s="11">
        <f>278162.22+C9</f>
        <v>34256.159999999974</v>
      </c>
      <c r="D25" s="10">
        <v>35790.9</v>
      </c>
      <c r="E25" s="10">
        <v>65997.66</v>
      </c>
      <c r="F25" s="10">
        <v>4412.91</v>
      </c>
      <c r="G25" s="10">
        <v>36052.160000000003</v>
      </c>
      <c r="H25" s="10">
        <f>291787.41+H9</f>
        <v>39281.299999999988</v>
      </c>
      <c r="I25" s="10">
        <f>271034.72+I9</f>
        <v>39273.799999999959</v>
      </c>
      <c r="J25" s="10">
        <f>267977.09+J9</f>
        <v>40124.090000000026</v>
      </c>
      <c r="K25" s="10">
        <f>538632.03+K9</f>
        <v>39273.450000000012</v>
      </c>
      <c r="L25" s="10">
        <v>38747.379999999997</v>
      </c>
      <c r="M25" s="10">
        <f>86957.14</f>
        <v>86957.14</v>
      </c>
      <c r="N25" s="10">
        <f>SUM(B25:M25)</f>
        <v>460166.95</v>
      </c>
    </row>
    <row r="26" spans="1:17">
      <c r="A26" s="3" t="s">
        <v>23</v>
      </c>
      <c r="B26" s="13">
        <f>B24+B25</f>
        <v>0</v>
      </c>
      <c r="C26" s="13">
        <f>C24+C25</f>
        <v>262792.7</v>
      </c>
      <c r="D26" s="13">
        <f t="shared" ref="D26:M26" si="9">D24+D25</f>
        <v>491058.19000000006</v>
      </c>
      <c r="E26" s="13">
        <f t="shared" si="9"/>
        <v>129263.54000000001</v>
      </c>
      <c r="F26" s="13">
        <f t="shared" si="9"/>
        <v>179188.69999999998</v>
      </c>
      <c r="G26" s="13">
        <f t="shared" si="9"/>
        <v>262103.18</v>
      </c>
      <c r="H26" s="13">
        <f t="shared" si="9"/>
        <v>275412.86</v>
      </c>
      <c r="I26" s="13">
        <f t="shared" si="9"/>
        <v>310593.29999999993</v>
      </c>
      <c r="J26" s="13">
        <f t="shared" si="9"/>
        <v>234974.59000000003</v>
      </c>
      <c r="K26" s="13">
        <f t="shared" si="9"/>
        <v>271116.69000000006</v>
      </c>
      <c r="L26" s="13">
        <f t="shared" si="9"/>
        <v>271716.17</v>
      </c>
      <c r="M26" s="13">
        <f t="shared" si="9"/>
        <v>831399.07</v>
      </c>
      <c r="N26" s="19">
        <f>SUM(B26:M26)</f>
        <v>3519618.9899999993</v>
      </c>
    </row>
    <row r="27" spans="1:17" ht="33.75">
      <c r="A27" s="6" t="s">
        <v>24</v>
      </c>
      <c r="B27" s="13">
        <f>B26</f>
        <v>0</v>
      </c>
      <c r="C27" s="13">
        <f t="shared" ref="C27:L27" si="10">C24-C18</f>
        <v>201259.63000000003</v>
      </c>
      <c r="D27" s="13">
        <f>D24-D18</f>
        <v>400713.47000000003</v>
      </c>
      <c r="E27" s="13">
        <f t="shared" si="10"/>
        <v>63265.88</v>
      </c>
      <c r="F27" s="13">
        <f t="shared" si="10"/>
        <v>148250.54999999999</v>
      </c>
      <c r="G27" s="13">
        <f>G24-G18</f>
        <v>199006.9</v>
      </c>
      <c r="H27" s="13">
        <f t="shared" si="10"/>
        <v>209752.07</v>
      </c>
      <c r="I27" s="13">
        <f t="shared" si="10"/>
        <v>247103.34</v>
      </c>
      <c r="J27" s="13">
        <f t="shared" si="10"/>
        <v>170634.34</v>
      </c>
      <c r="K27" s="13">
        <f t="shared" si="10"/>
        <v>207627.08000000002</v>
      </c>
      <c r="L27" s="13">
        <f t="shared" si="10"/>
        <v>208752.63</v>
      </c>
      <c r="M27" s="13">
        <f>M24-M18</f>
        <v>666953.35999999987</v>
      </c>
      <c r="N27" s="13">
        <f>N24-N18</f>
        <v>2723319.25</v>
      </c>
    </row>
    <row r="28" spans="1:17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7">
      <c r="A29" s="2" t="s">
        <v>25</v>
      </c>
      <c r="B29" s="19">
        <v>23229164.359999999</v>
      </c>
      <c r="C29" s="19">
        <f>B32</f>
        <v>23056861.599999998</v>
      </c>
      <c r="D29" s="19">
        <f>C32</f>
        <v>22922144.66</v>
      </c>
      <c r="E29" s="19">
        <f t="shared" ref="E29:M29" si="11">D32</f>
        <v>22981799.079999998</v>
      </c>
      <c r="F29" s="19">
        <f t="shared" si="11"/>
        <v>23508835.949999999</v>
      </c>
      <c r="G29" s="19">
        <f>F32</f>
        <v>24039255.870000001</v>
      </c>
      <c r="H29" s="19">
        <f t="shared" si="11"/>
        <v>24150277.030000001</v>
      </c>
      <c r="I29" s="19">
        <f t="shared" si="11"/>
        <v>24021813.840000004</v>
      </c>
      <c r="J29" s="19">
        <f t="shared" si="11"/>
        <v>23874028.700000003</v>
      </c>
      <c r="K29" s="19">
        <f t="shared" si="11"/>
        <v>23748842.400000002</v>
      </c>
      <c r="L29" s="19">
        <f t="shared" si="11"/>
        <v>23350691.650000002</v>
      </c>
      <c r="M29" s="19">
        <f t="shared" si="11"/>
        <v>23739819.870000001</v>
      </c>
      <c r="N29" s="19">
        <f>SUM(B29:M29)</f>
        <v>282623535.00999999</v>
      </c>
    </row>
    <row r="30" spans="1:17">
      <c r="A30" s="2" t="s">
        <v>26</v>
      </c>
      <c r="B30" s="19">
        <f>B15</f>
        <v>-172302.76</v>
      </c>
      <c r="C30" s="19">
        <f t="shared" ref="C30:M30" si="12">C15</f>
        <v>128075.76000000001</v>
      </c>
      <c r="D30" s="19">
        <f t="shared" si="12"/>
        <v>550712.61</v>
      </c>
      <c r="E30" s="19">
        <f t="shared" si="12"/>
        <v>656300.41</v>
      </c>
      <c r="F30" s="19">
        <f t="shared" si="12"/>
        <v>709608.62000000011</v>
      </c>
      <c r="G30" s="19">
        <f t="shared" si="12"/>
        <v>373124.34000000008</v>
      </c>
      <c r="H30" s="19">
        <f t="shared" si="12"/>
        <v>146949.67000000004</v>
      </c>
      <c r="I30" s="19">
        <f t="shared" si="12"/>
        <v>162808.16000000003</v>
      </c>
      <c r="J30" s="19">
        <f t="shared" si="12"/>
        <v>109788.29000000004</v>
      </c>
      <c r="K30" s="19">
        <f t="shared" si="12"/>
        <v>-127034.06000000004</v>
      </c>
      <c r="L30" s="19">
        <f t="shared" si="12"/>
        <v>660844.39000000013</v>
      </c>
      <c r="M30" s="19">
        <f t="shared" si="12"/>
        <v>1288833.3899999999</v>
      </c>
      <c r="N30" s="19">
        <f>SUM(B30:M30)</f>
        <v>4487708.82</v>
      </c>
    </row>
    <row r="31" spans="1:17">
      <c r="A31" s="2" t="s">
        <v>27</v>
      </c>
      <c r="B31" s="19">
        <f t="shared" ref="B31:M31" si="13">B26</f>
        <v>0</v>
      </c>
      <c r="C31" s="19">
        <f t="shared" si="13"/>
        <v>262792.7</v>
      </c>
      <c r="D31" s="19">
        <f t="shared" si="13"/>
        <v>491058.19000000006</v>
      </c>
      <c r="E31" s="19">
        <f t="shared" si="13"/>
        <v>129263.54000000001</v>
      </c>
      <c r="F31" s="19">
        <f t="shared" si="13"/>
        <v>179188.69999999998</v>
      </c>
      <c r="G31" s="19">
        <f t="shared" si="13"/>
        <v>262103.18</v>
      </c>
      <c r="H31" s="19">
        <f t="shared" si="13"/>
        <v>275412.86</v>
      </c>
      <c r="I31" s="19">
        <f t="shared" si="13"/>
        <v>310593.29999999993</v>
      </c>
      <c r="J31" s="19">
        <f t="shared" si="13"/>
        <v>234974.59000000003</v>
      </c>
      <c r="K31" s="19">
        <f t="shared" si="13"/>
        <v>271116.69000000006</v>
      </c>
      <c r="L31" s="19">
        <f t="shared" si="13"/>
        <v>271716.17</v>
      </c>
      <c r="M31" s="19">
        <f t="shared" si="13"/>
        <v>831399.07</v>
      </c>
      <c r="N31" s="19">
        <f>SUM(B31:M31)</f>
        <v>3519618.9899999993</v>
      </c>
    </row>
    <row r="32" spans="1:17">
      <c r="A32" s="3" t="s">
        <v>28</v>
      </c>
      <c r="B32" s="19">
        <f t="shared" ref="B32:M32" si="14">B29+B30-B31</f>
        <v>23056861.599999998</v>
      </c>
      <c r="C32" s="19">
        <f t="shared" si="14"/>
        <v>22922144.66</v>
      </c>
      <c r="D32" s="19">
        <f t="shared" si="14"/>
        <v>22981799.079999998</v>
      </c>
      <c r="E32" s="19">
        <f t="shared" si="14"/>
        <v>23508835.949999999</v>
      </c>
      <c r="F32" s="19">
        <f t="shared" si="14"/>
        <v>24039255.870000001</v>
      </c>
      <c r="G32" s="19">
        <f t="shared" si="14"/>
        <v>24150277.030000001</v>
      </c>
      <c r="H32" s="19">
        <f t="shared" si="14"/>
        <v>24021813.840000004</v>
      </c>
      <c r="I32" s="19">
        <f t="shared" si="14"/>
        <v>23874028.700000003</v>
      </c>
      <c r="J32" s="19">
        <f t="shared" si="14"/>
        <v>23748842.400000002</v>
      </c>
      <c r="K32" s="19">
        <f>K29+K30-K31</f>
        <v>23350691.650000002</v>
      </c>
      <c r="L32" s="19">
        <f t="shared" si="14"/>
        <v>23739819.870000001</v>
      </c>
      <c r="M32" s="19">
        <f t="shared" si="14"/>
        <v>24197254.190000001</v>
      </c>
      <c r="N32" s="19">
        <f t="shared" ref="N32" si="15">SUM(B32:M32)</f>
        <v>283591624.84000003</v>
      </c>
    </row>
    <row r="33" spans="1:13">
      <c r="B33" s="5"/>
      <c r="C33" s="5"/>
      <c r="D33" s="5"/>
      <c r="E33" s="5"/>
      <c r="F33" s="5"/>
      <c r="G33" s="5"/>
      <c r="H33" s="5"/>
      <c r="I33" s="5"/>
      <c r="J33" s="5"/>
      <c r="K33" s="5"/>
      <c r="M33" s="22"/>
    </row>
    <row r="34" spans="1:13">
      <c r="D34" s="31"/>
    </row>
    <row r="35" spans="1:13">
      <c r="H35" s="22"/>
      <c r="M35" s="22"/>
    </row>
    <row r="36" spans="1:13">
      <c r="A36" s="41" t="s">
        <v>29</v>
      </c>
      <c r="B36" s="41"/>
      <c r="C36" s="41"/>
      <c r="D36" s="41"/>
      <c r="E36" s="41"/>
      <c r="H36" s="41" t="s">
        <v>30</v>
      </c>
      <c r="I36" s="41"/>
      <c r="J36" s="41"/>
      <c r="K36" s="41"/>
      <c r="L36" s="41"/>
    </row>
    <row r="37" spans="1:13">
      <c r="A37" s="41" t="s">
        <v>31</v>
      </c>
      <c r="B37" s="41"/>
      <c r="C37" s="41"/>
      <c r="D37" s="41"/>
      <c r="E37" s="41"/>
      <c r="H37" s="41" t="s">
        <v>32</v>
      </c>
      <c r="I37" s="41"/>
      <c r="J37" s="41"/>
      <c r="K37" s="41"/>
      <c r="L37" s="41"/>
    </row>
    <row r="39" spans="1:13">
      <c r="A39" s="1" t="s">
        <v>33</v>
      </c>
    </row>
  </sheetData>
  <mergeCells count="6">
    <mergeCell ref="A1:N1"/>
    <mergeCell ref="A2:N2"/>
    <mergeCell ref="A36:E36"/>
    <mergeCell ref="H36:L36"/>
    <mergeCell ref="A37:E37"/>
    <mergeCell ref="H37:L37"/>
  </mergeCells>
  <pageMargins left="0.511811024" right="0.511811024" top="0.78740157499999996" bottom="0.78740157499999996" header="0.31496062000000002" footer="0.31496062000000002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9"/>
  <sheetViews>
    <sheetView tabSelected="1" zoomScale="90" zoomScaleNormal="90" workbookViewId="0">
      <selection activeCell="P16" sqref="P16"/>
    </sheetView>
  </sheetViews>
  <sheetFormatPr defaultRowHeight="11.25"/>
  <cols>
    <col min="1" max="1" width="23.42578125" style="1" customWidth="1"/>
    <col min="2" max="2" width="11.7109375" style="1" customWidth="1"/>
    <col min="3" max="3" width="20.140625" style="1" customWidth="1"/>
    <col min="4" max="4" width="14" style="1" customWidth="1"/>
    <col min="5" max="5" width="11.7109375" style="1" customWidth="1"/>
    <col min="6" max="6" width="13.140625" style="1" customWidth="1"/>
    <col min="7" max="7" width="12" style="1" customWidth="1"/>
    <col min="8" max="8" width="12.7109375" style="1" customWidth="1"/>
    <col min="9" max="9" width="13.28515625" style="1" customWidth="1"/>
    <col min="10" max="10" width="12" style="1" customWidth="1"/>
    <col min="11" max="11" width="14.28515625" style="1" customWidth="1"/>
    <col min="12" max="12" width="12" style="1" customWidth="1"/>
    <col min="13" max="13" width="18.140625" style="1" customWidth="1"/>
    <col min="14" max="14" width="16" style="1" customWidth="1"/>
    <col min="15" max="256" width="9.140625" style="1"/>
    <col min="257" max="257" width="20.28515625" style="1" customWidth="1"/>
    <col min="258" max="259" width="10.28515625" style="1" customWidth="1"/>
    <col min="260" max="260" width="9.5703125" style="1" customWidth="1"/>
    <col min="261" max="261" width="9.7109375" style="1" customWidth="1"/>
    <col min="262" max="263" width="9.85546875" style="1" customWidth="1"/>
    <col min="264" max="264" width="9.7109375" style="1" customWidth="1"/>
    <col min="265" max="265" width="12" style="1" bestFit="1" customWidth="1"/>
    <col min="266" max="266" width="10.28515625" style="1" customWidth="1"/>
    <col min="267" max="268" width="9.85546875" style="1" bestFit="1" customWidth="1"/>
    <col min="269" max="269" width="9.85546875" style="1" customWidth="1"/>
    <col min="270" max="270" width="11" style="1" customWidth="1"/>
    <col min="271" max="512" width="9.140625" style="1"/>
    <col min="513" max="513" width="20.28515625" style="1" customWidth="1"/>
    <col min="514" max="515" width="10.28515625" style="1" customWidth="1"/>
    <col min="516" max="516" width="9.5703125" style="1" customWidth="1"/>
    <col min="517" max="517" width="9.7109375" style="1" customWidth="1"/>
    <col min="518" max="519" width="9.85546875" style="1" customWidth="1"/>
    <col min="520" max="520" width="9.7109375" style="1" customWidth="1"/>
    <col min="521" max="521" width="12" style="1" bestFit="1" customWidth="1"/>
    <col min="522" max="522" width="10.28515625" style="1" customWidth="1"/>
    <col min="523" max="524" width="9.85546875" style="1" bestFit="1" customWidth="1"/>
    <col min="525" max="525" width="9.85546875" style="1" customWidth="1"/>
    <col min="526" max="526" width="11" style="1" customWidth="1"/>
    <col min="527" max="768" width="9.140625" style="1"/>
    <col min="769" max="769" width="20.28515625" style="1" customWidth="1"/>
    <col min="770" max="771" width="10.28515625" style="1" customWidth="1"/>
    <col min="772" max="772" width="9.5703125" style="1" customWidth="1"/>
    <col min="773" max="773" width="9.7109375" style="1" customWidth="1"/>
    <col min="774" max="775" width="9.85546875" style="1" customWidth="1"/>
    <col min="776" max="776" width="9.7109375" style="1" customWidth="1"/>
    <col min="777" max="777" width="12" style="1" bestFit="1" customWidth="1"/>
    <col min="778" max="778" width="10.28515625" style="1" customWidth="1"/>
    <col min="779" max="780" width="9.85546875" style="1" bestFit="1" customWidth="1"/>
    <col min="781" max="781" width="9.85546875" style="1" customWidth="1"/>
    <col min="782" max="782" width="11" style="1" customWidth="1"/>
    <col min="783" max="1024" width="9.140625" style="1"/>
    <col min="1025" max="1025" width="20.28515625" style="1" customWidth="1"/>
    <col min="1026" max="1027" width="10.28515625" style="1" customWidth="1"/>
    <col min="1028" max="1028" width="9.5703125" style="1" customWidth="1"/>
    <col min="1029" max="1029" width="9.7109375" style="1" customWidth="1"/>
    <col min="1030" max="1031" width="9.85546875" style="1" customWidth="1"/>
    <col min="1032" max="1032" width="9.7109375" style="1" customWidth="1"/>
    <col min="1033" max="1033" width="12" style="1" bestFit="1" customWidth="1"/>
    <col min="1034" max="1034" width="10.28515625" style="1" customWidth="1"/>
    <col min="1035" max="1036" width="9.85546875" style="1" bestFit="1" customWidth="1"/>
    <col min="1037" max="1037" width="9.85546875" style="1" customWidth="1"/>
    <col min="1038" max="1038" width="11" style="1" customWidth="1"/>
    <col min="1039" max="1280" width="9.140625" style="1"/>
    <col min="1281" max="1281" width="20.28515625" style="1" customWidth="1"/>
    <col min="1282" max="1283" width="10.28515625" style="1" customWidth="1"/>
    <col min="1284" max="1284" width="9.5703125" style="1" customWidth="1"/>
    <col min="1285" max="1285" width="9.7109375" style="1" customWidth="1"/>
    <col min="1286" max="1287" width="9.85546875" style="1" customWidth="1"/>
    <col min="1288" max="1288" width="9.7109375" style="1" customWidth="1"/>
    <col min="1289" max="1289" width="12" style="1" bestFit="1" customWidth="1"/>
    <col min="1290" max="1290" width="10.28515625" style="1" customWidth="1"/>
    <col min="1291" max="1292" width="9.85546875" style="1" bestFit="1" customWidth="1"/>
    <col min="1293" max="1293" width="9.85546875" style="1" customWidth="1"/>
    <col min="1294" max="1294" width="11" style="1" customWidth="1"/>
    <col min="1295" max="1536" width="9.140625" style="1"/>
    <col min="1537" max="1537" width="20.28515625" style="1" customWidth="1"/>
    <col min="1538" max="1539" width="10.28515625" style="1" customWidth="1"/>
    <col min="1540" max="1540" width="9.5703125" style="1" customWidth="1"/>
    <col min="1541" max="1541" width="9.7109375" style="1" customWidth="1"/>
    <col min="1542" max="1543" width="9.85546875" style="1" customWidth="1"/>
    <col min="1544" max="1544" width="9.7109375" style="1" customWidth="1"/>
    <col min="1545" max="1545" width="12" style="1" bestFit="1" customWidth="1"/>
    <col min="1546" max="1546" width="10.28515625" style="1" customWidth="1"/>
    <col min="1547" max="1548" width="9.85546875" style="1" bestFit="1" customWidth="1"/>
    <col min="1549" max="1549" width="9.85546875" style="1" customWidth="1"/>
    <col min="1550" max="1550" width="11" style="1" customWidth="1"/>
    <col min="1551" max="1792" width="9.140625" style="1"/>
    <col min="1793" max="1793" width="20.28515625" style="1" customWidth="1"/>
    <col min="1794" max="1795" width="10.28515625" style="1" customWidth="1"/>
    <col min="1796" max="1796" width="9.5703125" style="1" customWidth="1"/>
    <col min="1797" max="1797" width="9.7109375" style="1" customWidth="1"/>
    <col min="1798" max="1799" width="9.85546875" style="1" customWidth="1"/>
    <col min="1800" max="1800" width="9.7109375" style="1" customWidth="1"/>
    <col min="1801" max="1801" width="12" style="1" bestFit="1" customWidth="1"/>
    <col min="1802" max="1802" width="10.28515625" style="1" customWidth="1"/>
    <col min="1803" max="1804" width="9.85546875" style="1" bestFit="1" customWidth="1"/>
    <col min="1805" max="1805" width="9.85546875" style="1" customWidth="1"/>
    <col min="1806" max="1806" width="11" style="1" customWidth="1"/>
    <col min="1807" max="2048" width="9.140625" style="1"/>
    <col min="2049" max="2049" width="20.28515625" style="1" customWidth="1"/>
    <col min="2050" max="2051" width="10.28515625" style="1" customWidth="1"/>
    <col min="2052" max="2052" width="9.5703125" style="1" customWidth="1"/>
    <col min="2053" max="2053" width="9.7109375" style="1" customWidth="1"/>
    <col min="2054" max="2055" width="9.85546875" style="1" customWidth="1"/>
    <col min="2056" max="2056" width="9.7109375" style="1" customWidth="1"/>
    <col min="2057" max="2057" width="12" style="1" bestFit="1" customWidth="1"/>
    <col min="2058" max="2058" width="10.28515625" style="1" customWidth="1"/>
    <col min="2059" max="2060" width="9.85546875" style="1" bestFit="1" customWidth="1"/>
    <col min="2061" max="2061" width="9.85546875" style="1" customWidth="1"/>
    <col min="2062" max="2062" width="11" style="1" customWidth="1"/>
    <col min="2063" max="2304" width="9.140625" style="1"/>
    <col min="2305" max="2305" width="20.28515625" style="1" customWidth="1"/>
    <col min="2306" max="2307" width="10.28515625" style="1" customWidth="1"/>
    <col min="2308" max="2308" width="9.5703125" style="1" customWidth="1"/>
    <col min="2309" max="2309" width="9.7109375" style="1" customWidth="1"/>
    <col min="2310" max="2311" width="9.85546875" style="1" customWidth="1"/>
    <col min="2312" max="2312" width="9.7109375" style="1" customWidth="1"/>
    <col min="2313" max="2313" width="12" style="1" bestFit="1" customWidth="1"/>
    <col min="2314" max="2314" width="10.28515625" style="1" customWidth="1"/>
    <col min="2315" max="2316" width="9.85546875" style="1" bestFit="1" customWidth="1"/>
    <col min="2317" max="2317" width="9.85546875" style="1" customWidth="1"/>
    <col min="2318" max="2318" width="11" style="1" customWidth="1"/>
    <col min="2319" max="2560" width="9.140625" style="1"/>
    <col min="2561" max="2561" width="20.28515625" style="1" customWidth="1"/>
    <col min="2562" max="2563" width="10.28515625" style="1" customWidth="1"/>
    <col min="2564" max="2564" width="9.5703125" style="1" customWidth="1"/>
    <col min="2565" max="2565" width="9.7109375" style="1" customWidth="1"/>
    <col min="2566" max="2567" width="9.85546875" style="1" customWidth="1"/>
    <col min="2568" max="2568" width="9.7109375" style="1" customWidth="1"/>
    <col min="2569" max="2569" width="12" style="1" bestFit="1" customWidth="1"/>
    <col min="2570" max="2570" width="10.28515625" style="1" customWidth="1"/>
    <col min="2571" max="2572" width="9.85546875" style="1" bestFit="1" customWidth="1"/>
    <col min="2573" max="2573" width="9.85546875" style="1" customWidth="1"/>
    <col min="2574" max="2574" width="11" style="1" customWidth="1"/>
    <col min="2575" max="2816" width="9.140625" style="1"/>
    <col min="2817" max="2817" width="20.28515625" style="1" customWidth="1"/>
    <col min="2818" max="2819" width="10.28515625" style="1" customWidth="1"/>
    <col min="2820" max="2820" width="9.5703125" style="1" customWidth="1"/>
    <col min="2821" max="2821" width="9.7109375" style="1" customWidth="1"/>
    <col min="2822" max="2823" width="9.85546875" style="1" customWidth="1"/>
    <col min="2824" max="2824" width="9.7109375" style="1" customWidth="1"/>
    <col min="2825" max="2825" width="12" style="1" bestFit="1" customWidth="1"/>
    <col min="2826" max="2826" width="10.28515625" style="1" customWidth="1"/>
    <col min="2827" max="2828" width="9.85546875" style="1" bestFit="1" customWidth="1"/>
    <col min="2829" max="2829" width="9.85546875" style="1" customWidth="1"/>
    <col min="2830" max="2830" width="11" style="1" customWidth="1"/>
    <col min="2831" max="3072" width="9.140625" style="1"/>
    <col min="3073" max="3073" width="20.28515625" style="1" customWidth="1"/>
    <col min="3074" max="3075" width="10.28515625" style="1" customWidth="1"/>
    <col min="3076" max="3076" width="9.5703125" style="1" customWidth="1"/>
    <col min="3077" max="3077" width="9.7109375" style="1" customWidth="1"/>
    <col min="3078" max="3079" width="9.85546875" style="1" customWidth="1"/>
    <col min="3080" max="3080" width="9.7109375" style="1" customWidth="1"/>
    <col min="3081" max="3081" width="12" style="1" bestFit="1" customWidth="1"/>
    <col min="3082" max="3082" width="10.28515625" style="1" customWidth="1"/>
    <col min="3083" max="3084" width="9.85546875" style="1" bestFit="1" customWidth="1"/>
    <col min="3085" max="3085" width="9.85546875" style="1" customWidth="1"/>
    <col min="3086" max="3086" width="11" style="1" customWidth="1"/>
    <col min="3087" max="3328" width="9.140625" style="1"/>
    <col min="3329" max="3329" width="20.28515625" style="1" customWidth="1"/>
    <col min="3330" max="3331" width="10.28515625" style="1" customWidth="1"/>
    <col min="3332" max="3332" width="9.5703125" style="1" customWidth="1"/>
    <col min="3333" max="3333" width="9.7109375" style="1" customWidth="1"/>
    <col min="3334" max="3335" width="9.85546875" style="1" customWidth="1"/>
    <col min="3336" max="3336" width="9.7109375" style="1" customWidth="1"/>
    <col min="3337" max="3337" width="12" style="1" bestFit="1" customWidth="1"/>
    <col min="3338" max="3338" width="10.28515625" style="1" customWidth="1"/>
    <col min="3339" max="3340" width="9.85546875" style="1" bestFit="1" customWidth="1"/>
    <col min="3341" max="3341" width="9.85546875" style="1" customWidth="1"/>
    <col min="3342" max="3342" width="11" style="1" customWidth="1"/>
    <col min="3343" max="3584" width="9.140625" style="1"/>
    <col min="3585" max="3585" width="20.28515625" style="1" customWidth="1"/>
    <col min="3586" max="3587" width="10.28515625" style="1" customWidth="1"/>
    <col min="3588" max="3588" width="9.5703125" style="1" customWidth="1"/>
    <col min="3589" max="3589" width="9.7109375" style="1" customWidth="1"/>
    <col min="3590" max="3591" width="9.85546875" style="1" customWidth="1"/>
    <col min="3592" max="3592" width="9.7109375" style="1" customWidth="1"/>
    <col min="3593" max="3593" width="12" style="1" bestFit="1" customWidth="1"/>
    <col min="3594" max="3594" width="10.28515625" style="1" customWidth="1"/>
    <col min="3595" max="3596" width="9.85546875" style="1" bestFit="1" customWidth="1"/>
    <col min="3597" max="3597" width="9.85546875" style="1" customWidth="1"/>
    <col min="3598" max="3598" width="11" style="1" customWidth="1"/>
    <col min="3599" max="3840" width="9.140625" style="1"/>
    <col min="3841" max="3841" width="20.28515625" style="1" customWidth="1"/>
    <col min="3842" max="3843" width="10.28515625" style="1" customWidth="1"/>
    <col min="3844" max="3844" width="9.5703125" style="1" customWidth="1"/>
    <col min="3845" max="3845" width="9.7109375" style="1" customWidth="1"/>
    <col min="3846" max="3847" width="9.85546875" style="1" customWidth="1"/>
    <col min="3848" max="3848" width="9.7109375" style="1" customWidth="1"/>
    <col min="3849" max="3849" width="12" style="1" bestFit="1" customWidth="1"/>
    <col min="3850" max="3850" width="10.28515625" style="1" customWidth="1"/>
    <col min="3851" max="3852" width="9.85546875" style="1" bestFit="1" customWidth="1"/>
    <col min="3853" max="3853" width="9.85546875" style="1" customWidth="1"/>
    <col min="3854" max="3854" width="11" style="1" customWidth="1"/>
    <col min="3855" max="4096" width="9.140625" style="1"/>
    <col min="4097" max="4097" width="20.28515625" style="1" customWidth="1"/>
    <col min="4098" max="4099" width="10.28515625" style="1" customWidth="1"/>
    <col min="4100" max="4100" width="9.5703125" style="1" customWidth="1"/>
    <col min="4101" max="4101" width="9.7109375" style="1" customWidth="1"/>
    <col min="4102" max="4103" width="9.85546875" style="1" customWidth="1"/>
    <col min="4104" max="4104" width="9.7109375" style="1" customWidth="1"/>
    <col min="4105" max="4105" width="12" style="1" bestFit="1" customWidth="1"/>
    <col min="4106" max="4106" width="10.28515625" style="1" customWidth="1"/>
    <col min="4107" max="4108" width="9.85546875" style="1" bestFit="1" customWidth="1"/>
    <col min="4109" max="4109" width="9.85546875" style="1" customWidth="1"/>
    <col min="4110" max="4110" width="11" style="1" customWidth="1"/>
    <col min="4111" max="4352" width="9.140625" style="1"/>
    <col min="4353" max="4353" width="20.28515625" style="1" customWidth="1"/>
    <col min="4354" max="4355" width="10.28515625" style="1" customWidth="1"/>
    <col min="4356" max="4356" width="9.5703125" style="1" customWidth="1"/>
    <col min="4357" max="4357" width="9.7109375" style="1" customWidth="1"/>
    <col min="4358" max="4359" width="9.85546875" style="1" customWidth="1"/>
    <col min="4360" max="4360" width="9.7109375" style="1" customWidth="1"/>
    <col min="4361" max="4361" width="12" style="1" bestFit="1" customWidth="1"/>
    <col min="4362" max="4362" width="10.28515625" style="1" customWidth="1"/>
    <col min="4363" max="4364" width="9.85546875" style="1" bestFit="1" customWidth="1"/>
    <col min="4365" max="4365" width="9.85546875" style="1" customWidth="1"/>
    <col min="4366" max="4366" width="11" style="1" customWidth="1"/>
    <col min="4367" max="4608" width="9.140625" style="1"/>
    <col min="4609" max="4609" width="20.28515625" style="1" customWidth="1"/>
    <col min="4610" max="4611" width="10.28515625" style="1" customWidth="1"/>
    <col min="4612" max="4612" width="9.5703125" style="1" customWidth="1"/>
    <col min="4613" max="4613" width="9.7109375" style="1" customWidth="1"/>
    <col min="4614" max="4615" width="9.85546875" style="1" customWidth="1"/>
    <col min="4616" max="4616" width="9.7109375" style="1" customWidth="1"/>
    <col min="4617" max="4617" width="12" style="1" bestFit="1" customWidth="1"/>
    <col min="4618" max="4618" width="10.28515625" style="1" customWidth="1"/>
    <col min="4619" max="4620" width="9.85546875" style="1" bestFit="1" customWidth="1"/>
    <col min="4621" max="4621" width="9.85546875" style="1" customWidth="1"/>
    <col min="4622" max="4622" width="11" style="1" customWidth="1"/>
    <col min="4623" max="4864" width="9.140625" style="1"/>
    <col min="4865" max="4865" width="20.28515625" style="1" customWidth="1"/>
    <col min="4866" max="4867" width="10.28515625" style="1" customWidth="1"/>
    <col min="4868" max="4868" width="9.5703125" style="1" customWidth="1"/>
    <col min="4869" max="4869" width="9.7109375" style="1" customWidth="1"/>
    <col min="4870" max="4871" width="9.85546875" style="1" customWidth="1"/>
    <col min="4872" max="4872" width="9.7109375" style="1" customWidth="1"/>
    <col min="4873" max="4873" width="12" style="1" bestFit="1" customWidth="1"/>
    <col min="4874" max="4874" width="10.28515625" style="1" customWidth="1"/>
    <col min="4875" max="4876" width="9.85546875" style="1" bestFit="1" customWidth="1"/>
    <col min="4877" max="4877" width="9.85546875" style="1" customWidth="1"/>
    <col min="4878" max="4878" width="11" style="1" customWidth="1"/>
    <col min="4879" max="5120" width="9.140625" style="1"/>
    <col min="5121" max="5121" width="20.28515625" style="1" customWidth="1"/>
    <col min="5122" max="5123" width="10.28515625" style="1" customWidth="1"/>
    <col min="5124" max="5124" width="9.5703125" style="1" customWidth="1"/>
    <col min="5125" max="5125" width="9.7109375" style="1" customWidth="1"/>
    <col min="5126" max="5127" width="9.85546875" style="1" customWidth="1"/>
    <col min="5128" max="5128" width="9.7109375" style="1" customWidth="1"/>
    <col min="5129" max="5129" width="12" style="1" bestFit="1" customWidth="1"/>
    <col min="5130" max="5130" width="10.28515625" style="1" customWidth="1"/>
    <col min="5131" max="5132" width="9.85546875" style="1" bestFit="1" customWidth="1"/>
    <col min="5133" max="5133" width="9.85546875" style="1" customWidth="1"/>
    <col min="5134" max="5134" width="11" style="1" customWidth="1"/>
    <col min="5135" max="5376" width="9.140625" style="1"/>
    <col min="5377" max="5377" width="20.28515625" style="1" customWidth="1"/>
    <col min="5378" max="5379" width="10.28515625" style="1" customWidth="1"/>
    <col min="5380" max="5380" width="9.5703125" style="1" customWidth="1"/>
    <col min="5381" max="5381" width="9.7109375" style="1" customWidth="1"/>
    <col min="5382" max="5383" width="9.85546875" style="1" customWidth="1"/>
    <col min="5384" max="5384" width="9.7109375" style="1" customWidth="1"/>
    <col min="5385" max="5385" width="12" style="1" bestFit="1" customWidth="1"/>
    <col min="5386" max="5386" width="10.28515625" style="1" customWidth="1"/>
    <col min="5387" max="5388" width="9.85546875" style="1" bestFit="1" customWidth="1"/>
    <col min="5389" max="5389" width="9.85546875" style="1" customWidth="1"/>
    <col min="5390" max="5390" width="11" style="1" customWidth="1"/>
    <col min="5391" max="5632" width="9.140625" style="1"/>
    <col min="5633" max="5633" width="20.28515625" style="1" customWidth="1"/>
    <col min="5634" max="5635" width="10.28515625" style="1" customWidth="1"/>
    <col min="5636" max="5636" width="9.5703125" style="1" customWidth="1"/>
    <col min="5637" max="5637" width="9.7109375" style="1" customWidth="1"/>
    <col min="5638" max="5639" width="9.85546875" style="1" customWidth="1"/>
    <col min="5640" max="5640" width="9.7109375" style="1" customWidth="1"/>
    <col min="5641" max="5641" width="12" style="1" bestFit="1" customWidth="1"/>
    <col min="5642" max="5642" width="10.28515625" style="1" customWidth="1"/>
    <col min="5643" max="5644" width="9.85546875" style="1" bestFit="1" customWidth="1"/>
    <col min="5645" max="5645" width="9.85546875" style="1" customWidth="1"/>
    <col min="5646" max="5646" width="11" style="1" customWidth="1"/>
    <col min="5647" max="5888" width="9.140625" style="1"/>
    <col min="5889" max="5889" width="20.28515625" style="1" customWidth="1"/>
    <col min="5890" max="5891" width="10.28515625" style="1" customWidth="1"/>
    <col min="5892" max="5892" width="9.5703125" style="1" customWidth="1"/>
    <col min="5893" max="5893" width="9.7109375" style="1" customWidth="1"/>
    <col min="5894" max="5895" width="9.85546875" style="1" customWidth="1"/>
    <col min="5896" max="5896" width="9.7109375" style="1" customWidth="1"/>
    <col min="5897" max="5897" width="12" style="1" bestFit="1" customWidth="1"/>
    <col min="5898" max="5898" width="10.28515625" style="1" customWidth="1"/>
    <col min="5899" max="5900" width="9.85546875" style="1" bestFit="1" customWidth="1"/>
    <col min="5901" max="5901" width="9.85546875" style="1" customWidth="1"/>
    <col min="5902" max="5902" width="11" style="1" customWidth="1"/>
    <col min="5903" max="6144" width="9.140625" style="1"/>
    <col min="6145" max="6145" width="20.28515625" style="1" customWidth="1"/>
    <col min="6146" max="6147" width="10.28515625" style="1" customWidth="1"/>
    <col min="6148" max="6148" width="9.5703125" style="1" customWidth="1"/>
    <col min="6149" max="6149" width="9.7109375" style="1" customWidth="1"/>
    <col min="6150" max="6151" width="9.85546875" style="1" customWidth="1"/>
    <col min="6152" max="6152" width="9.7109375" style="1" customWidth="1"/>
    <col min="6153" max="6153" width="12" style="1" bestFit="1" customWidth="1"/>
    <col min="6154" max="6154" width="10.28515625" style="1" customWidth="1"/>
    <col min="6155" max="6156" width="9.85546875" style="1" bestFit="1" customWidth="1"/>
    <col min="6157" max="6157" width="9.85546875" style="1" customWidth="1"/>
    <col min="6158" max="6158" width="11" style="1" customWidth="1"/>
    <col min="6159" max="6400" width="9.140625" style="1"/>
    <col min="6401" max="6401" width="20.28515625" style="1" customWidth="1"/>
    <col min="6402" max="6403" width="10.28515625" style="1" customWidth="1"/>
    <col min="6404" max="6404" width="9.5703125" style="1" customWidth="1"/>
    <col min="6405" max="6405" width="9.7109375" style="1" customWidth="1"/>
    <col min="6406" max="6407" width="9.85546875" style="1" customWidth="1"/>
    <col min="6408" max="6408" width="9.7109375" style="1" customWidth="1"/>
    <col min="6409" max="6409" width="12" style="1" bestFit="1" customWidth="1"/>
    <col min="6410" max="6410" width="10.28515625" style="1" customWidth="1"/>
    <col min="6411" max="6412" width="9.85546875" style="1" bestFit="1" customWidth="1"/>
    <col min="6413" max="6413" width="9.85546875" style="1" customWidth="1"/>
    <col min="6414" max="6414" width="11" style="1" customWidth="1"/>
    <col min="6415" max="6656" width="9.140625" style="1"/>
    <col min="6657" max="6657" width="20.28515625" style="1" customWidth="1"/>
    <col min="6658" max="6659" width="10.28515625" style="1" customWidth="1"/>
    <col min="6660" max="6660" width="9.5703125" style="1" customWidth="1"/>
    <col min="6661" max="6661" width="9.7109375" style="1" customWidth="1"/>
    <col min="6662" max="6663" width="9.85546875" style="1" customWidth="1"/>
    <col min="6664" max="6664" width="9.7109375" style="1" customWidth="1"/>
    <col min="6665" max="6665" width="12" style="1" bestFit="1" customWidth="1"/>
    <col min="6666" max="6666" width="10.28515625" style="1" customWidth="1"/>
    <col min="6667" max="6668" width="9.85546875" style="1" bestFit="1" customWidth="1"/>
    <col min="6669" max="6669" width="9.85546875" style="1" customWidth="1"/>
    <col min="6670" max="6670" width="11" style="1" customWidth="1"/>
    <col min="6671" max="6912" width="9.140625" style="1"/>
    <col min="6913" max="6913" width="20.28515625" style="1" customWidth="1"/>
    <col min="6914" max="6915" width="10.28515625" style="1" customWidth="1"/>
    <col min="6916" max="6916" width="9.5703125" style="1" customWidth="1"/>
    <col min="6917" max="6917" width="9.7109375" style="1" customWidth="1"/>
    <col min="6918" max="6919" width="9.85546875" style="1" customWidth="1"/>
    <col min="6920" max="6920" width="9.7109375" style="1" customWidth="1"/>
    <col min="6921" max="6921" width="12" style="1" bestFit="1" customWidth="1"/>
    <col min="6922" max="6922" width="10.28515625" style="1" customWidth="1"/>
    <col min="6923" max="6924" width="9.85546875" style="1" bestFit="1" customWidth="1"/>
    <col min="6925" max="6925" width="9.85546875" style="1" customWidth="1"/>
    <col min="6926" max="6926" width="11" style="1" customWidth="1"/>
    <col min="6927" max="7168" width="9.140625" style="1"/>
    <col min="7169" max="7169" width="20.28515625" style="1" customWidth="1"/>
    <col min="7170" max="7171" width="10.28515625" style="1" customWidth="1"/>
    <col min="7172" max="7172" width="9.5703125" style="1" customWidth="1"/>
    <col min="7173" max="7173" width="9.7109375" style="1" customWidth="1"/>
    <col min="7174" max="7175" width="9.85546875" style="1" customWidth="1"/>
    <col min="7176" max="7176" width="9.7109375" style="1" customWidth="1"/>
    <col min="7177" max="7177" width="12" style="1" bestFit="1" customWidth="1"/>
    <col min="7178" max="7178" width="10.28515625" style="1" customWidth="1"/>
    <col min="7179" max="7180" width="9.85546875" style="1" bestFit="1" customWidth="1"/>
    <col min="7181" max="7181" width="9.85546875" style="1" customWidth="1"/>
    <col min="7182" max="7182" width="11" style="1" customWidth="1"/>
    <col min="7183" max="7424" width="9.140625" style="1"/>
    <col min="7425" max="7425" width="20.28515625" style="1" customWidth="1"/>
    <col min="7426" max="7427" width="10.28515625" style="1" customWidth="1"/>
    <col min="7428" max="7428" width="9.5703125" style="1" customWidth="1"/>
    <col min="7429" max="7429" width="9.7109375" style="1" customWidth="1"/>
    <col min="7430" max="7431" width="9.85546875" style="1" customWidth="1"/>
    <col min="7432" max="7432" width="9.7109375" style="1" customWidth="1"/>
    <col min="7433" max="7433" width="12" style="1" bestFit="1" customWidth="1"/>
    <col min="7434" max="7434" width="10.28515625" style="1" customWidth="1"/>
    <col min="7435" max="7436" width="9.85546875" style="1" bestFit="1" customWidth="1"/>
    <col min="7437" max="7437" width="9.85546875" style="1" customWidth="1"/>
    <col min="7438" max="7438" width="11" style="1" customWidth="1"/>
    <col min="7439" max="7680" width="9.140625" style="1"/>
    <col min="7681" max="7681" width="20.28515625" style="1" customWidth="1"/>
    <col min="7682" max="7683" width="10.28515625" style="1" customWidth="1"/>
    <col min="7684" max="7684" width="9.5703125" style="1" customWidth="1"/>
    <col min="7685" max="7685" width="9.7109375" style="1" customWidth="1"/>
    <col min="7686" max="7687" width="9.85546875" style="1" customWidth="1"/>
    <col min="7688" max="7688" width="9.7109375" style="1" customWidth="1"/>
    <col min="7689" max="7689" width="12" style="1" bestFit="1" customWidth="1"/>
    <col min="7690" max="7690" width="10.28515625" style="1" customWidth="1"/>
    <col min="7691" max="7692" width="9.85546875" style="1" bestFit="1" customWidth="1"/>
    <col min="7693" max="7693" width="9.85546875" style="1" customWidth="1"/>
    <col min="7694" max="7694" width="11" style="1" customWidth="1"/>
    <col min="7695" max="7936" width="9.140625" style="1"/>
    <col min="7937" max="7937" width="20.28515625" style="1" customWidth="1"/>
    <col min="7938" max="7939" width="10.28515625" style="1" customWidth="1"/>
    <col min="7940" max="7940" width="9.5703125" style="1" customWidth="1"/>
    <col min="7941" max="7941" width="9.7109375" style="1" customWidth="1"/>
    <col min="7942" max="7943" width="9.85546875" style="1" customWidth="1"/>
    <col min="7944" max="7944" width="9.7109375" style="1" customWidth="1"/>
    <col min="7945" max="7945" width="12" style="1" bestFit="1" customWidth="1"/>
    <col min="7946" max="7946" width="10.28515625" style="1" customWidth="1"/>
    <col min="7947" max="7948" width="9.85546875" style="1" bestFit="1" customWidth="1"/>
    <col min="7949" max="7949" width="9.85546875" style="1" customWidth="1"/>
    <col min="7950" max="7950" width="11" style="1" customWidth="1"/>
    <col min="7951" max="8192" width="9.140625" style="1"/>
    <col min="8193" max="8193" width="20.28515625" style="1" customWidth="1"/>
    <col min="8194" max="8195" width="10.28515625" style="1" customWidth="1"/>
    <col min="8196" max="8196" width="9.5703125" style="1" customWidth="1"/>
    <col min="8197" max="8197" width="9.7109375" style="1" customWidth="1"/>
    <col min="8198" max="8199" width="9.85546875" style="1" customWidth="1"/>
    <col min="8200" max="8200" width="9.7109375" style="1" customWidth="1"/>
    <col min="8201" max="8201" width="12" style="1" bestFit="1" customWidth="1"/>
    <col min="8202" max="8202" width="10.28515625" style="1" customWidth="1"/>
    <col min="8203" max="8204" width="9.85546875" style="1" bestFit="1" customWidth="1"/>
    <col min="8205" max="8205" width="9.85546875" style="1" customWidth="1"/>
    <col min="8206" max="8206" width="11" style="1" customWidth="1"/>
    <col min="8207" max="8448" width="9.140625" style="1"/>
    <col min="8449" max="8449" width="20.28515625" style="1" customWidth="1"/>
    <col min="8450" max="8451" width="10.28515625" style="1" customWidth="1"/>
    <col min="8452" max="8452" width="9.5703125" style="1" customWidth="1"/>
    <col min="8453" max="8453" width="9.7109375" style="1" customWidth="1"/>
    <col min="8454" max="8455" width="9.85546875" style="1" customWidth="1"/>
    <col min="8456" max="8456" width="9.7109375" style="1" customWidth="1"/>
    <col min="8457" max="8457" width="12" style="1" bestFit="1" customWidth="1"/>
    <col min="8458" max="8458" width="10.28515625" style="1" customWidth="1"/>
    <col min="8459" max="8460" width="9.85546875" style="1" bestFit="1" customWidth="1"/>
    <col min="8461" max="8461" width="9.85546875" style="1" customWidth="1"/>
    <col min="8462" max="8462" width="11" style="1" customWidth="1"/>
    <col min="8463" max="8704" width="9.140625" style="1"/>
    <col min="8705" max="8705" width="20.28515625" style="1" customWidth="1"/>
    <col min="8706" max="8707" width="10.28515625" style="1" customWidth="1"/>
    <col min="8708" max="8708" width="9.5703125" style="1" customWidth="1"/>
    <col min="8709" max="8709" width="9.7109375" style="1" customWidth="1"/>
    <col min="8710" max="8711" width="9.85546875" style="1" customWidth="1"/>
    <col min="8712" max="8712" width="9.7109375" style="1" customWidth="1"/>
    <col min="8713" max="8713" width="12" style="1" bestFit="1" customWidth="1"/>
    <col min="8714" max="8714" width="10.28515625" style="1" customWidth="1"/>
    <col min="8715" max="8716" width="9.85546875" style="1" bestFit="1" customWidth="1"/>
    <col min="8717" max="8717" width="9.85546875" style="1" customWidth="1"/>
    <col min="8718" max="8718" width="11" style="1" customWidth="1"/>
    <col min="8719" max="8960" width="9.140625" style="1"/>
    <col min="8961" max="8961" width="20.28515625" style="1" customWidth="1"/>
    <col min="8962" max="8963" width="10.28515625" style="1" customWidth="1"/>
    <col min="8964" max="8964" width="9.5703125" style="1" customWidth="1"/>
    <col min="8965" max="8965" width="9.7109375" style="1" customWidth="1"/>
    <col min="8966" max="8967" width="9.85546875" style="1" customWidth="1"/>
    <col min="8968" max="8968" width="9.7109375" style="1" customWidth="1"/>
    <col min="8969" max="8969" width="12" style="1" bestFit="1" customWidth="1"/>
    <col min="8970" max="8970" width="10.28515625" style="1" customWidth="1"/>
    <col min="8971" max="8972" width="9.85546875" style="1" bestFit="1" customWidth="1"/>
    <col min="8973" max="8973" width="9.85546875" style="1" customWidth="1"/>
    <col min="8974" max="8974" width="11" style="1" customWidth="1"/>
    <col min="8975" max="9216" width="9.140625" style="1"/>
    <col min="9217" max="9217" width="20.28515625" style="1" customWidth="1"/>
    <col min="9218" max="9219" width="10.28515625" style="1" customWidth="1"/>
    <col min="9220" max="9220" width="9.5703125" style="1" customWidth="1"/>
    <col min="9221" max="9221" width="9.7109375" style="1" customWidth="1"/>
    <col min="9222" max="9223" width="9.85546875" style="1" customWidth="1"/>
    <col min="9224" max="9224" width="9.7109375" style="1" customWidth="1"/>
    <col min="9225" max="9225" width="12" style="1" bestFit="1" customWidth="1"/>
    <col min="9226" max="9226" width="10.28515625" style="1" customWidth="1"/>
    <col min="9227" max="9228" width="9.85546875" style="1" bestFit="1" customWidth="1"/>
    <col min="9229" max="9229" width="9.85546875" style="1" customWidth="1"/>
    <col min="9230" max="9230" width="11" style="1" customWidth="1"/>
    <col min="9231" max="9472" width="9.140625" style="1"/>
    <col min="9473" max="9473" width="20.28515625" style="1" customWidth="1"/>
    <col min="9474" max="9475" width="10.28515625" style="1" customWidth="1"/>
    <col min="9476" max="9476" width="9.5703125" style="1" customWidth="1"/>
    <col min="9477" max="9477" width="9.7109375" style="1" customWidth="1"/>
    <col min="9478" max="9479" width="9.85546875" style="1" customWidth="1"/>
    <col min="9480" max="9480" width="9.7109375" style="1" customWidth="1"/>
    <col min="9481" max="9481" width="12" style="1" bestFit="1" customWidth="1"/>
    <col min="9482" max="9482" width="10.28515625" style="1" customWidth="1"/>
    <col min="9483" max="9484" width="9.85546875" style="1" bestFit="1" customWidth="1"/>
    <col min="9485" max="9485" width="9.85546875" style="1" customWidth="1"/>
    <col min="9486" max="9486" width="11" style="1" customWidth="1"/>
    <col min="9487" max="9728" width="9.140625" style="1"/>
    <col min="9729" max="9729" width="20.28515625" style="1" customWidth="1"/>
    <col min="9730" max="9731" width="10.28515625" style="1" customWidth="1"/>
    <col min="9732" max="9732" width="9.5703125" style="1" customWidth="1"/>
    <col min="9733" max="9733" width="9.7109375" style="1" customWidth="1"/>
    <col min="9734" max="9735" width="9.85546875" style="1" customWidth="1"/>
    <col min="9736" max="9736" width="9.7109375" style="1" customWidth="1"/>
    <col min="9737" max="9737" width="12" style="1" bestFit="1" customWidth="1"/>
    <col min="9738" max="9738" width="10.28515625" style="1" customWidth="1"/>
    <col min="9739" max="9740" width="9.85546875" style="1" bestFit="1" customWidth="1"/>
    <col min="9741" max="9741" width="9.85546875" style="1" customWidth="1"/>
    <col min="9742" max="9742" width="11" style="1" customWidth="1"/>
    <col min="9743" max="9984" width="9.140625" style="1"/>
    <col min="9985" max="9985" width="20.28515625" style="1" customWidth="1"/>
    <col min="9986" max="9987" width="10.28515625" style="1" customWidth="1"/>
    <col min="9988" max="9988" width="9.5703125" style="1" customWidth="1"/>
    <col min="9989" max="9989" width="9.7109375" style="1" customWidth="1"/>
    <col min="9990" max="9991" width="9.85546875" style="1" customWidth="1"/>
    <col min="9992" max="9992" width="9.7109375" style="1" customWidth="1"/>
    <col min="9993" max="9993" width="12" style="1" bestFit="1" customWidth="1"/>
    <col min="9994" max="9994" width="10.28515625" style="1" customWidth="1"/>
    <col min="9995" max="9996" width="9.85546875" style="1" bestFit="1" customWidth="1"/>
    <col min="9997" max="9997" width="9.85546875" style="1" customWidth="1"/>
    <col min="9998" max="9998" width="11" style="1" customWidth="1"/>
    <col min="9999" max="10240" width="9.140625" style="1"/>
    <col min="10241" max="10241" width="20.28515625" style="1" customWidth="1"/>
    <col min="10242" max="10243" width="10.28515625" style="1" customWidth="1"/>
    <col min="10244" max="10244" width="9.5703125" style="1" customWidth="1"/>
    <col min="10245" max="10245" width="9.7109375" style="1" customWidth="1"/>
    <col min="10246" max="10247" width="9.85546875" style="1" customWidth="1"/>
    <col min="10248" max="10248" width="9.7109375" style="1" customWidth="1"/>
    <col min="10249" max="10249" width="12" style="1" bestFit="1" customWidth="1"/>
    <col min="10250" max="10250" width="10.28515625" style="1" customWidth="1"/>
    <col min="10251" max="10252" width="9.85546875" style="1" bestFit="1" customWidth="1"/>
    <col min="10253" max="10253" width="9.85546875" style="1" customWidth="1"/>
    <col min="10254" max="10254" width="11" style="1" customWidth="1"/>
    <col min="10255" max="10496" width="9.140625" style="1"/>
    <col min="10497" max="10497" width="20.28515625" style="1" customWidth="1"/>
    <col min="10498" max="10499" width="10.28515625" style="1" customWidth="1"/>
    <col min="10500" max="10500" width="9.5703125" style="1" customWidth="1"/>
    <col min="10501" max="10501" width="9.7109375" style="1" customWidth="1"/>
    <col min="10502" max="10503" width="9.85546875" style="1" customWidth="1"/>
    <col min="10504" max="10504" width="9.7109375" style="1" customWidth="1"/>
    <col min="10505" max="10505" width="12" style="1" bestFit="1" customWidth="1"/>
    <col min="10506" max="10506" width="10.28515625" style="1" customWidth="1"/>
    <col min="10507" max="10508" width="9.85546875" style="1" bestFit="1" customWidth="1"/>
    <col min="10509" max="10509" width="9.85546875" style="1" customWidth="1"/>
    <col min="10510" max="10510" width="11" style="1" customWidth="1"/>
    <col min="10511" max="10752" width="9.140625" style="1"/>
    <col min="10753" max="10753" width="20.28515625" style="1" customWidth="1"/>
    <col min="10754" max="10755" width="10.28515625" style="1" customWidth="1"/>
    <col min="10756" max="10756" width="9.5703125" style="1" customWidth="1"/>
    <col min="10757" max="10757" width="9.7109375" style="1" customWidth="1"/>
    <col min="10758" max="10759" width="9.85546875" style="1" customWidth="1"/>
    <col min="10760" max="10760" width="9.7109375" style="1" customWidth="1"/>
    <col min="10761" max="10761" width="12" style="1" bestFit="1" customWidth="1"/>
    <col min="10762" max="10762" width="10.28515625" style="1" customWidth="1"/>
    <col min="10763" max="10764" width="9.85546875" style="1" bestFit="1" customWidth="1"/>
    <col min="10765" max="10765" width="9.85546875" style="1" customWidth="1"/>
    <col min="10766" max="10766" width="11" style="1" customWidth="1"/>
    <col min="10767" max="11008" width="9.140625" style="1"/>
    <col min="11009" max="11009" width="20.28515625" style="1" customWidth="1"/>
    <col min="11010" max="11011" width="10.28515625" style="1" customWidth="1"/>
    <col min="11012" max="11012" width="9.5703125" style="1" customWidth="1"/>
    <col min="11013" max="11013" width="9.7109375" style="1" customWidth="1"/>
    <col min="11014" max="11015" width="9.85546875" style="1" customWidth="1"/>
    <col min="11016" max="11016" width="9.7109375" style="1" customWidth="1"/>
    <col min="11017" max="11017" width="12" style="1" bestFit="1" customWidth="1"/>
    <col min="11018" max="11018" width="10.28515625" style="1" customWidth="1"/>
    <col min="11019" max="11020" width="9.85546875" style="1" bestFit="1" customWidth="1"/>
    <col min="11021" max="11021" width="9.85546875" style="1" customWidth="1"/>
    <col min="11022" max="11022" width="11" style="1" customWidth="1"/>
    <col min="11023" max="11264" width="9.140625" style="1"/>
    <col min="11265" max="11265" width="20.28515625" style="1" customWidth="1"/>
    <col min="11266" max="11267" width="10.28515625" style="1" customWidth="1"/>
    <col min="11268" max="11268" width="9.5703125" style="1" customWidth="1"/>
    <col min="11269" max="11269" width="9.7109375" style="1" customWidth="1"/>
    <col min="11270" max="11271" width="9.85546875" style="1" customWidth="1"/>
    <col min="11272" max="11272" width="9.7109375" style="1" customWidth="1"/>
    <col min="11273" max="11273" width="12" style="1" bestFit="1" customWidth="1"/>
    <col min="11274" max="11274" width="10.28515625" style="1" customWidth="1"/>
    <col min="11275" max="11276" width="9.85546875" style="1" bestFit="1" customWidth="1"/>
    <col min="11277" max="11277" width="9.85546875" style="1" customWidth="1"/>
    <col min="11278" max="11278" width="11" style="1" customWidth="1"/>
    <col min="11279" max="11520" width="9.140625" style="1"/>
    <col min="11521" max="11521" width="20.28515625" style="1" customWidth="1"/>
    <col min="11522" max="11523" width="10.28515625" style="1" customWidth="1"/>
    <col min="11524" max="11524" width="9.5703125" style="1" customWidth="1"/>
    <col min="11525" max="11525" width="9.7109375" style="1" customWidth="1"/>
    <col min="11526" max="11527" width="9.85546875" style="1" customWidth="1"/>
    <col min="11528" max="11528" width="9.7109375" style="1" customWidth="1"/>
    <col min="11529" max="11529" width="12" style="1" bestFit="1" customWidth="1"/>
    <col min="11530" max="11530" width="10.28515625" style="1" customWidth="1"/>
    <col min="11531" max="11532" width="9.85546875" style="1" bestFit="1" customWidth="1"/>
    <col min="11533" max="11533" width="9.85546875" style="1" customWidth="1"/>
    <col min="11534" max="11534" width="11" style="1" customWidth="1"/>
    <col min="11535" max="11776" width="9.140625" style="1"/>
    <col min="11777" max="11777" width="20.28515625" style="1" customWidth="1"/>
    <col min="11778" max="11779" width="10.28515625" style="1" customWidth="1"/>
    <col min="11780" max="11780" width="9.5703125" style="1" customWidth="1"/>
    <col min="11781" max="11781" width="9.7109375" style="1" customWidth="1"/>
    <col min="11782" max="11783" width="9.85546875" style="1" customWidth="1"/>
    <col min="11784" max="11784" width="9.7109375" style="1" customWidth="1"/>
    <col min="11785" max="11785" width="12" style="1" bestFit="1" customWidth="1"/>
    <col min="11786" max="11786" width="10.28515625" style="1" customWidth="1"/>
    <col min="11787" max="11788" width="9.85546875" style="1" bestFit="1" customWidth="1"/>
    <col min="11789" max="11789" width="9.85546875" style="1" customWidth="1"/>
    <col min="11790" max="11790" width="11" style="1" customWidth="1"/>
    <col min="11791" max="12032" width="9.140625" style="1"/>
    <col min="12033" max="12033" width="20.28515625" style="1" customWidth="1"/>
    <col min="12034" max="12035" width="10.28515625" style="1" customWidth="1"/>
    <col min="12036" max="12036" width="9.5703125" style="1" customWidth="1"/>
    <col min="12037" max="12037" width="9.7109375" style="1" customWidth="1"/>
    <col min="12038" max="12039" width="9.85546875" style="1" customWidth="1"/>
    <col min="12040" max="12040" width="9.7109375" style="1" customWidth="1"/>
    <col min="12041" max="12041" width="12" style="1" bestFit="1" customWidth="1"/>
    <col min="12042" max="12042" width="10.28515625" style="1" customWidth="1"/>
    <col min="12043" max="12044" width="9.85546875" style="1" bestFit="1" customWidth="1"/>
    <col min="12045" max="12045" width="9.85546875" style="1" customWidth="1"/>
    <col min="12046" max="12046" width="11" style="1" customWidth="1"/>
    <col min="12047" max="12288" width="9.140625" style="1"/>
    <col min="12289" max="12289" width="20.28515625" style="1" customWidth="1"/>
    <col min="12290" max="12291" width="10.28515625" style="1" customWidth="1"/>
    <col min="12292" max="12292" width="9.5703125" style="1" customWidth="1"/>
    <col min="12293" max="12293" width="9.7109375" style="1" customWidth="1"/>
    <col min="12294" max="12295" width="9.85546875" style="1" customWidth="1"/>
    <col min="12296" max="12296" width="9.7109375" style="1" customWidth="1"/>
    <col min="12297" max="12297" width="12" style="1" bestFit="1" customWidth="1"/>
    <col min="12298" max="12298" width="10.28515625" style="1" customWidth="1"/>
    <col min="12299" max="12300" width="9.85546875" style="1" bestFit="1" customWidth="1"/>
    <col min="12301" max="12301" width="9.85546875" style="1" customWidth="1"/>
    <col min="12302" max="12302" width="11" style="1" customWidth="1"/>
    <col min="12303" max="12544" width="9.140625" style="1"/>
    <col min="12545" max="12545" width="20.28515625" style="1" customWidth="1"/>
    <col min="12546" max="12547" width="10.28515625" style="1" customWidth="1"/>
    <col min="12548" max="12548" width="9.5703125" style="1" customWidth="1"/>
    <col min="12549" max="12549" width="9.7109375" style="1" customWidth="1"/>
    <col min="12550" max="12551" width="9.85546875" style="1" customWidth="1"/>
    <col min="12552" max="12552" width="9.7109375" style="1" customWidth="1"/>
    <col min="12553" max="12553" width="12" style="1" bestFit="1" customWidth="1"/>
    <col min="12554" max="12554" width="10.28515625" style="1" customWidth="1"/>
    <col min="12555" max="12556" width="9.85546875" style="1" bestFit="1" customWidth="1"/>
    <col min="12557" max="12557" width="9.85546875" style="1" customWidth="1"/>
    <col min="12558" max="12558" width="11" style="1" customWidth="1"/>
    <col min="12559" max="12800" width="9.140625" style="1"/>
    <col min="12801" max="12801" width="20.28515625" style="1" customWidth="1"/>
    <col min="12802" max="12803" width="10.28515625" style="1" customWidth="1"/>
    <col min="12804" max="12804" width="9.5703125" style="1" customWidth="1"/>
    <col min="12805" max="12805" width="9.7109375" style="1" customWidth="1"/>
    <col min="12806" max="12807" width="9.85546875" style="1" customWidth="1"/>
    <col min="12808" max="12808" width="9.7109375" style="1" customWidth="1"/>
    <col min="12809" max="12809" width="12" style="1" bestFit="1" customWidth="1"/>
    <col min="12810" max="12810" width="10.28515625" style="1" customWidth="1"/>
    <col min="12811" max="12812" width="9.85546875" style="1" bestFit="1" customWidth="1"/>
    <col min="12813" max="12813" width="9.85546875" style="1" customWidth="1"/>
    <col min="12814" max="12814" width="11" style="1" customWidth="1"/>
    <col min="12815" max="13056" width="9.140625" style="1"/>
    <col min="13057" max="13057" width="20.28515625" style="1" customWidth="1"/>
    <col min="13058" max="13059" width="10.28515625" style="1" customWidth="1"/>
    <col min="13060" max="13060" width="9.5703125" style="1" customWidth="1"/>
    <col min="13061" max="13061" width="9.7109375" style="1" customWidth="1"/>
    <col min="13062" max="13063" width="9.85546875" style="1" customWidth="1"/>
    <col min="13064" max="13064" width="9.7109375" style="1" customWidth="1"/>
    <col min="13065" max="13065" width="12" style="1" bestFit="1" customWidth="1"/>
    <col min="13066" max="13066" width="10.28515625" style="1" customWidth="1"/>
    <col min="13067" max="13068" width="9.85546875" style="1" bestFit="1" customWidth="1"/>
    <col min="13069" max="13069" width="9.85546875" style="1" customWidth="1"/>
    <col min="13070" max="13070" width="11" style="1" customWidth="1"/>
    <col min="13071" max="13312" width="9.140625" style="1"/>
    <col min="13313" max="13313" width="20.28515625" style="1" customWidth="1"/>
    <col min="13314" max="13315" width="10.28515625" style="1" customWidth="1"/>
    <col min="13316" max="13316" width="9.5703125" style="1" customWidth="1"/>
    <col min="13317" max="13317" width="9.7109375" style="1" customWidth="1"/>
    <col min="13318" max="13319" width="9.85546875" style="1" customWidth="1"/>
    <col min="13320" max="13320" width="9.7109375" style="1" customWidth="1"/>
    <col min="13321" max="13321" width="12" style="1" bestFit="1" customWidth="1"/>
    <col min="13322" max="13322" width="10.28515625" style="1" customWidth="1"/>
    <col min="13323" max="13324" width="9.85546875" style="1" bestFit="1" customWidth="1"/>
    <col min="13325" max="13325" width="9.85546875" style="1" customWidth="1"/>
    <col min="13326" max="13326" width="11" style="1" customWidth="1"/>
    <col min="13327" max="13568" width="9.140625" style="1"/>
    <col min="13569" max="13569" width="20.28515625" style="1" customWidth="1"/>
    <col min="13570" max="13571" width="10.28515625" style="1" customWidth="1"/>
    <col min="13572" max="13572" width="9.5703125" style="1" customWidth="1"/>
    <col min="13573" max="13573" width="9.7109375" style="1" customWidth="1"/>
    <col min="13574" max="13575" width="9.85546875" style="1" customWidth="1"/>
    <col min="13576" max="13576" width="9.7109375" style="1" customWidth="1"/>
    <col min="13577" max="13577" width="12" style="1" bestFit="1" customWidth="1"/>
    <col min="13578" max="13578" width="10.28515625" style="1" customWidth="1"/>
    <col min="13579" max="13580" width="9.85546875" style="1" bestFit="1" customWidth="1"/>
    <col min="13581" max="13581" width="9.85546875" style="1" customWidth="1"/>
    <col min="13582" max="13582" width="11" style="1" customWidth="1"/>
    <col min="13583" max="13824" width="9.140625" style="1"/>
    <col min="13825" max="13825" width="20.28515625" style="1" customWidth="1"/>
    <col min="13826" max="13827" width="10.28515625" style="1" customWidth="1"/>
    <col min="13828" max="13828" width="9.5703125" style="1" customWidth="1"/>
    <col min="13829" max="13829" width="9.7109375" style="1" customWidth="1"/>
    <col min="13830" max="13831" width="9.85546875" style="1" customWidth="1"/>
    <col min="13832" max="13832" width="9.7109375" style="1" customWidth="1"/>
    <col min="13833" max="13833" width="12" style="1" bestFit="1" customWidth="1"/>
    <col min="13834" max="13834" width="10.28515625" style="1" customWidth="1"/>
    <col min="13835" max="13836" width="9.85546875" style="1" bestFit="1" customWidth="1"/>
    <col min="13837" max="13837" width="9.85546875" style="1" customWidth="1"/>
    <col min="13838" max="13838" width="11" style="1" customWidth="1"/>
    <col min="13839" max="14080" width="9.140625" style="1"/>
    <col min="14081" max="14081" width="20.28515625" style="1" customWidth="1"/>
    <col min="14082" max="14083" width="10.28515625" style="1" customWidth="1"/>
    <col min="14084" max="14084" width="9.5703125" style="1" customWidth="1"/>
    <col min="14085" max="14085" width="9.7109375" style="1" customWidth="1"/>
    <col min="14086" max="14087" width="9.85546875" style="1" customWidth="1"/>
    <col min="14088" max="14088" width="9.7109375" style="1" customWidth="1"/>
    <col min="14089" max="14089" width="12" style="1" bestFit="1" customWidth="1"/>
    <col min="14090" max="14090" width="10.28515625" style="1" customWidth="1"/>
    <col min="14091" max="14092" width="9.85546875" style="1" bestFit="1" customWidth="1"/>
    <col min="14093" max="14093" width="9.85546875" style="1" customWidth="1"/>
    <col min="14094" max="14094" width="11" style="1" customWidth="1"/>
    <col min="14095" max="14336" width="9.140625" style="1"/>
    <col min="14337" max="14337" width="20.28515625" style="1" customWidth="1"/>
    <col min="14338" max="14339" width="10.28515625" style="1" customWidth="1"/>
    <col min="14340" max="14340" width="9.5703125" style="1" customWidth="1"/>
    <col min="14341" max="14341" width="9.7109375" style="1" customWidth="1"/>
    <col min="14342" max="14343" width="9.85546875" style="1" customWidth="1"/>
    <col min="14344" max="14344" width="9.7109375" style="1" customWidth="1"/>
    <col min="14345" max="14345" width="12" style="1" bestFit="1" customWidth="1"/>
    <col min="14346" max="14346" width="10.28515625" style="1" customWidth="1"/>
    <col min="14347" max="14348" width="9.85546875" style="1" bestFit="1" customWidth="1"/>
    <col min="14349" max="14349" width="9.85546875" style="1" customWidth="1"/>
    <col min="14350" max="14350" width="11" style="1" customWidth="1"/>
    <col min="14351" max="14592" width="9.140625" style="1"/>
    <col min="14593" max="14593" width="20.28515625" style="1" customWidth="1"/>
    <col min="14594" max="14595" width="10.28515625" style="1" customWidth="1"/>
    <col min="14596" max="14596" width="9.5703125" style="1" customWidth="1"/>
    <col min="14597" max="14597" width="9.7109375" style="1" customWidth="1"/>
    <col min="14598" max="14599" width="9.85546875" style="1" customWidth="1"/>
    <col min="14600" max="14600" width="9.7109375" style="1" customWidth="1"/>
    <col min="14601" max="14601" width="12" style="1" bestFit="1" customWidth="1"/>
    <col min="14602" max="14602" width="10.28515625" style="1" customWidth="1"/>
    <col min="14603" max="14604" width="9.85546875" style="1" bestFit="1" customWidth="1"/>
    <col min="14605" max="14605" width="9.85546875" style="1" customWidth="1"/>
    <col min="14606" max="14606" width="11" style="1" customWidth="1"/>
    <col min="14607" max="14848" width="9.140625" style="1"/>
    <col min="14849" max="14849" width="20.28515625" style="1" customWidth="1"/>
    <col min="14850" max="14851" width="10.28515625" style="1" customWidth="1"/>
    <col min="14852" max="14852" width="9.5703125" style="1" customWidth="1"/>
    <col min="14853" max="14853" width="9.7109375" style="1" customWidth="1"/>
    <col min="14854" max="14855" width="9.85546875" style="1" customWidth="1"/>
    <col min="14856" max="14856" width="9.7109375" style="1" customWidth="1"/>
    <col min="14857" max="14857" width="12" style="1" bestFit="1" customWidth="1"/>
    <col min="14858" max="14858" width="10.28515625" style="1" customWidth="1"/>
    <col min="14859" max="14860" width="9.85546875" style="1" bestFit="1" customWidth="1"/>
    <col min="14861" max="14861" width="9.85546875" style="1" customWidth="1"/>
    <col min="14862" max="14862" width="11" style="1" customWidth="1"/>
    <col min="14863" max="15104" width="9.140625" style="1"/>
    <col min="15105" max="15105" width="20.28515625" style="1" customWidth="1"/>
    <col min="15106" max="15107" width="10.28515625" style="1" customWidth="1"/>
    <col min="15108" max="15108" width="9.5703125" style="1" customWidth="1"/>
    <col min="15109" max="15109" width="9.7109375" style="1" customWidth="1"/>
    <col min="15110" max="15111" width="9.85546875" style="1" customWidth="1"/>
    <col min="15112" max="15112" width="9.7109375" style="1" customWidth="1"/>
    <col min="15113" max="15113" width="12" style="1" bestFit="1" customWidth="1"/>
    <col min="15114" max="15114" width="10.28515625" style="1" customWidth="1"/>
    <col min="15115" max="15116" width="9.85546875" style="1" bestFit="1" customWidth="1"/>
    <col min="15117" max="15117" width="9.85546875" style="1" customWidth="1"/>
    <col min="15118" max="15118" width="11" style="1" customWidth="1"/>
    <col min="15119" max="15360" width="9.140625" style="1"/>
    <col min="15361" max="15361" width="20.28515625" style="1" customWidth="1"/>
    <col min="15362" max="15363" width="10.28515625" style="1" customWidth="1"/>
    <col min="15364" max="15364" width="9.5703125" style="1" customWidth="1"/>
    <col min="15365" max="15365" width="9.7109375" style="1" customWidth="1"/>
    <col min="15366" max="15367" width="9.85546875" style="1" customWidth="1"/>
    <col min="15368" max="15368" width="9.7109375" style="1" customWidth="1"/>
    <col min="15369" max="15369" width="12" style="1" bestFit="1" customWidth="1"/>
    <col min="15370" max="15370" width="10.28515625" style="1" customWidth="1"/>
    <col min="15371" max="15372" width="9.85546875" style="1" bestFit="1" customWidth="1"/>
    <col min="15373" max="15373" width="9.85546875" style="1" customWidth="1"/>
    <col min="15374" max="15374" width="11" style="1" customWidth="1"/>
    <col min="15375" max="15616" width="9.140625" style="1"/>
    <col min="15617" max="15617" width="20.28515625" style="1" customWidth="1"/>
    <col min="15618" max="15619" width="10.28515625" style="1" customWidth="1"/>
    <col min="15620" max="15620" width="9.5703125" style="1" customWidth="1"/>
    <col min="15621" max="15621" width="9.7109375" style="1" customWidth="1"/>
    <col min="15622" max="15623" width="9.85546875" style="1" customWidth="1"/>
    <col min="15624" max="15624" width="9.7109375" style="1" customWidth="1"/>
    <col min="15625" max="15625" width="12" style="1" bestFit="1" customWidth="1"/>
    <col min="15626" max="15626" width="10.28515625" style="1" customWidth="1"/>
    <col min="15627" max="15628" width="9.85546875" style="1" bestFit="1" customWidth="1"/>
    <col min="15629" max="15629" width="9.85546875" style="1" customWidth="1"/>
    <col min="15630" max="15630" width="11" style="1" customWidth="1"/>
    <col min="15631" max="15872" width="9.140625" style="1"/>
    <col min="15873" max="15873" width="20.28515625" style="1" customWidth="1"/>
    <col min="15874" max="15875" width="10.28515625" style="1" customWidth="1"/>
    <col min="15876" max="15876" width="9.5703125" style="1" customWidth="1"/>
    <col min="15877" max="15877" width="9.7109375" style="1" customWidth="1"/>
    <col min="15878" max="15879" width="9.85546875" style="1" customWidth="1"/>
    <col min="15880" max="15880" width="9.7109375" style="1" customWidth="1"/>
    <col min="15881" max="15881" width="12" style="1" bestFit="1" customWidth="1"/>
    <col min="15882" max="15882" width="10.28515625" style="1" customWidth="1"/>
    <col min="15883" max="15884" width="9.85546875" style="1" bestFit="1" customWidth="1"/>
    <col min="15885" max="15885" width="9.85546875" style="1" customWidth="1"/>
    <col min="15886" max="15886" width="11" style="1" customWidth="1"/>
    <col min="15887" max="16128" width="9.140625" style="1"/>
    <col min="16129" max="16129" width="20.28515625" style="1" customWidth="1"/>
    <col min="16130" max="16131" width="10.28515625" style="1" customWidth="1"/>
    <col min="16132" max="16132" width="9.5703125" style="1" customWidth="1"/>
    <col min="16133" max="16133" width="9.7109375" style="1" customWidth="1"/>
    <col min="16134" max="16135" width="9.85546875" style="1" customWidth="1"/>
    <col min="16136" max="16136" width="9.7109375" style="1" customWidth="1"/>
    <col min="16137" max="16137" width="12" style="1" bestFit="1" customWidth="1"/>
    <col min="16138" max="16138" width="10.28515625" style="1" customWidth="1"/>
    <col min="16139" max="16140" width="9.85546875" style="1" bestFit="1" customWidth="1"/>
    <col min="16141" max="16141" width="9.85546875" style="1" customWidth="1"/>
    <col min="16142" max="16142" width="11" style="1" customWidth="1"/>
    <col min="16143" max="16384" width="9.140625" style="1"/>
  </cols>
  <sheetData>
    <row r="1" spans="1:14" ht="18" customHeight="1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4"/>
    </row>
    <row r="2" spans="1:14" ht="16.5" thickBot="1">
      <c r="A2" s="42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5"/>
    </row>
    <row r="3" spans="1:14">
      <c r="A3" s="7" t="s">
        <v>0</v>
      </c>
      <c r="B3" s="8">
        <v>44562</v>
      </c>
      <c r="C3" s="8">
        <v>44593</v>
      </c>
      <c r="D3" s="8">
        <v>44621</v>
      </c>
      <c r="E3" s="8">
        <v>44652</v>
      </c>
      <c r="F3" s="8">
        <v>44682</v>
      </c>
      <c r="G3" s="8">
        <v>44713</v>
      </c>
      <c r="H3" s="8">
        <v>44743</v>
      </c>
      <c r="I3" s="8">
        <v>44774</v>
      </c>
      <c r="J3" s="8">
        <v>44805</v>
      </c>
      <c r="K3" s="8">
        <v>44835</v>
      </c>
      <c r="L3" s="8">
        <v>44866</v>
      </c>
      <c r="M3" s="8">
        <v>44896</v>
      </c>
      <c r="N3" s="20" t="s">
        <v>1</v>
      </c>
    </row>
    <row r="4" spans="1:14">
      <c r="A4" s="2" t="s">
        <v>2</v>
      </c>
      <c r="B4" s="35">
        <f>62613.64</f>
        <v>62613.64</v>
      </c>
      <c r="C4" s="37">
        <f>107261.76+952.27</f>
        <v>108214.03</v>
      </c>
      <c r="D4" s="10">
        <f>108147.72+952.27</f>
        <v>109099.99</v>
      </c>
      <c r="E4" s="10">
        <f>108813.41+1904.54</f>
        <v>110717.95</v>
      </c>
      <c r="F4" s="10">
        <v>108650.37</v>
      </c>
      <c r="G4" s="10">
        <v>123687.94</v>
      </c>
      <c r="H4" s="10">
        <v>123615.84</v>
      </c>
      <c r="I4" s="10"/>
      <c r="J4" s="10"/>
      <c r="K4" s="10"/>
      <c r="L4" s="10"/>
      <c r="M4" s="10"/>
      <c r="N4" s="10">
        <f>SUM(B4:M4)</f>
        <v>746599.75999999989</v>
      </c>
    </row>
    <row r="5" spans="1:14">
      <c r="A5" s="2" t="s">
        <v>3</v>
      </c>
      <c r="B5" s="35">
        <f>208.94+86600.46</f>
        <v>86809.400000000009</v>
      </c>
      <c r="C5" s="37">
        <f>208.94+148501.91</f>
        <v>148710.85</v>
      </c>
      <c r="D5" s="10">
        <f>208.94+149730.22</f>
        <v>149939.16</v>
      </c>
      <c r="E5" s="10">
        <f>356.03+150506.11</f>
        <v>150862.13999999998</v>
      </c>
      <c r="F5" s="10">
        <v>150636.10999999999</v>
      </c>
      <c r="G5" s="10">
        <v>170038.84</v>
      </c>
      <c r="H5" s="10">
        <v>168421.05</v>
      </c>
      <c r="I5" s="10"/>
      <c r="J5" s="10"/>
      <c r="K5" s="10"/>
      <c r="L5" s="10"/>
      <c r="M5" s="10"/>
      <c r="N5" s="10">
        <f t="shared" ref="N5:N23" si="0">SUM(B5:M5)</f>
        <v>1025417.55</v>
      </c>
    </row>
    <row r="6" spans="1:14">
      <c r="A6" s="2" t="s">
        <v>4</v>
      </c>
      <c r="B6" s="35">
        <v>60938.23</v>
      </c>
      <c r="C6" s="37">
        <f>65289.45</f>
        <v>65289.45</v>
      </c>
      <c r="D6" s="10">
        <v>65703.22</v>
      </c>
      <c r="E6" s="10">
        <v>66021.820000000007</v>
      </c>
      <c r="F6" s="10">
        <v>66341.990000000005</v>
      </c>
      <c r="G6" s="10">
        <v>66663.7</v>
      </c>
      <c r="H6" s="10">
        <v>66986.98</v>
      </c>
      <c r="I6" s="10"/>
      <c r="J6" s="10"/>
      <c r="K6" s="10"/>
      <c r="L6" s="10"/>
      <c r="M6" s="10"/>
      <c r="N6" s="10">
        <f t="shared" si="0"/>
        <v>457945.39</v>
      </c>
    </row>
    <row r="7" spans="1:14">
      <c r="A7" s="2" t="s">
        <v>5</v>
      </c>
      <c r="B7" s="35">
        <f>1492.62+830.5</f>
        <v>2323.12</v>
      </c>
      <c r="C7" s="37">
        <f>1492.62+839.75</f>
        <v>2332.37</v>
      </c>
      <c r="D7" s="10">
        <f>1492.62+849.01</f>
        <v>2341.63</v>
      </c>
      <c r="E7" s="10">
        <v>2350.88</v>
      </c>
      <c r="F7" s="10">
        <v>2476.6</v>
      </c>
      <c r="G7" s="10">
        <v>2486.31</v>
      </c>
      <c r="H7" s="10">
        <v>2534.44</v>
      </c>
      <c r="I7" s="10"/>
      <c r="J7" s="10"/>
      <c r="K7" s="10"/>
      <c r="L7" s="10"/>
      <c r="M7" s="10"/>
      <c r="N7" s="10">
        <f t="shared" si="0"/>
        <v>16845.349999999999</v>
      </c>
    </row>
    <row r="8" spans="1:14">
      <c r="A8" s="2" t="s">
        <v>6</v>
      </c>
      <c r="B8" s="35">
        <v>0</v>
      </c>
      <c r="C8" s="37">
        <v>0</v>
      </c>
      <c r="D8" s="10">
        <v>40.46</v>
      </c>
      <c r="E8" s="10">
        <v>202.32</v>
      </c>
      <c r="F8" s="10">
        <v>0</v>
      </c>
      <c r="G8" s="10">
        <v>0</v>
      </c>
      <c r="H8" s="10">
        <v>0</v>
      </c>
      <c r="I8" s="11"/>
      <c r="J8" s="10"/>
      <c r="K8" s="10"/>
      <c r="L8" s="10"/>
      <c r="M8" s="10"/>
      <c r="N8" s="10">
        <f t="shared" si="0"/>
        <v>242.78</v>
      </c>
    </row>
    <row r="9" spans="1:14">
      <c r="A9" s="2" t="s">
        <v>7</v>
      </c>
      <c r="B9" s="36">
        <f>248509.6-86423.32</f>
        <v>162086.28</v>
      </c>
      <c r="C9" s="38">
        <f>182215.67-83035.77</f>
        <v>99179.900000000009</v>
      </c>
      <c r="D9" s="34">
        <f>693532.77</f>
        <v>693532.77</v>
      </c>
      <c r="E9" s="10">
        <v>-202165.8</v>
      </c>
      <c r="F9" s="10">
        <v>237550.18</v>
      </c>
      <c r="G9" s="10">
        <v>-466867.54</v>
      </c>
      <c r="H9" s="10">
        <v>316528.53999999998</v>
      </c>
      <c r="I9" s="33"/>
      <c r="J9" s="33"/>
      <c r="K9" s="33"/>
      <c r="L9" s="10"/>
      <c r="M9" s="10"/>
      <c r="N9" s="10">
        <f>SUM(B9:M9)</f>
        <v>839844.32999999984</v>
      </c>
    </row>
    <row r="10" spans="1:14">
      <c r="A10" s="2" t="s">
        <v>8</v>
      </c>
      <c r="B10" s="1">
        <v>0</v>
      </c>
      <c r="C10" s="37">
        <v>10010.120000000001</v>
      </c>
      <c r="D10" s="12">
        <f>5513.51</f>
        <v>5513.51</v>
      </c>
      <c r="E10" s="12">
        <v>5513.51</v>
      </c>
      <c r="F10" s="12">
        <v>5513.51</v>
      </c>
      <c r="G10" s="12">
        <v>5513.51</v>
      </c>
      <c r="H10" s="10">
        <v>5513.51</v>
      </c>
      <c r="I10" s="10"/>
      <c r="J10" s="10"/>
      <c r="K10" s="10"/>
      <c r="L10" s="10"/>
      <c r="M10" s="10"/>
      <c r="N10" s="10">
        <f t="shared" si="0"/>
        <v>37577.670000000006</v>
      </c>
    </row>
    <row r="11" spans="1:14">
      <c r="A11" s="3" t="s">
        <v>9</v>
      </c>
      <c r="B11" s="13">
        <f>SUM(B4:B9)</f>
        <v>374770.67000000004</v>
      </c>
      <c r="C11" s="13">
        <f>SUM(C4:C10)</f>
        <v>433736.72000000003</v>
      </c>
      <c r="D11" s="13">
        <f>SUM(D4:D10)</f>
        <v>1026170.74</v>
      </c>
      <c r="E11" s="13">
        <f t="shared" ref="E11:M11" si="1">SUM(E4:E10)</f>
        <v>133502.82</v>
      </c>
      <c r="F11" s="13">
        <f>SUM(F4:F10)</f>
        <v>571168.76</v>
      </c>
      <c r="G11" s="13">
        <f t="shared" si="1"/>
        <v>-98477.239999999947</v>
      </c>
      <c r="H11" s="13">
        <f t="shared" si="1"/>
        <v>683600.36</v>
      </c>
      <c r="I11" s="13">
        <f>SUM(I4:I10)</f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21">
        <f t="shared" si="0"/>
        <v>3124472.83</v>
      </c>
    </row>
    <row r="12" spans="1:14">
      <c r="A12" s="2" t="s">
        <v>10</v>
      </c>
      <c r="B12" s="10">
        <v>0</v>
      </c>
      <c r="C12" s="10">
        <v>25892.799999999999</v>
      </c>
      <c r="D12" s="10">
        <v>25892.799999999999</v>
      </c>
      <c r="E12" s="10">
        <v>51785.599999999999</v>
      </c>
      <c r="F12" s="10">
        <v>29253.599999999999</v>
      </c>
      <c r="G12" s="10">
        <v>0</v>
      </c>
      <c r="H12" s="10">
        <v>55146.400000000001</v>
      </c>
      <c r="I12" s="10"/>
      <c r="J12" s="10"/>
      <c r="K12" s="10"/>
      <c r="L12" s="10"/>
      <c r="M12" s="10"/>
      <c r="N12" s="10">
        <f t="shared" si="0"/>
        <v>187971.19999999998</v>
      </c>
    </row>
    <row r="13" spans="1:14">
      <c r="A13" s="2" t="s">
        <v>11</v>
      </c>
      <c r="B13" s="10">
        <v>0</v>
      </c>
      <c r="C13" s="10">
        <f>C14-C12</f>
        <v>40193.979999999996</v>
      </c>
      <c r="D13" s="10">
        <f>D14-D12</f>
        <v>40625.199999999997</v>
      </c>
      <c r="E13" s="10">
        <f>133849.81-51785.6</f>
        <v>82064.209999999992</v>
      </c>
      <c r="F13" s="10">
        <v>0</v>
      </c>
      <c r="G13" s="10">
        <v>43519.5</v>
      </c>
      <c r="H13" s="10">
        <v>89960.38</v>
      </c>
      <c r="I13" s="10"/>
      <c r="J13" s="10"/>
      <c r="K13" s="10"/>
      <c r="L13" s="10"/>
      <c r="M13" s="18"/>
      <c r="N13" s="10">
        <f t="shared" si="0"/>
        <v>296363.27</v>
      </c>
    </row>
    <row r="14" spans="1:14">
      <c r="A14" s="3" t="s">
        <v>12</v>
      </c>
      <c r="B14" s="15">
        <v>0</v>
      </c>
      <c r="C14" s="15">
        <f>66086.78</f>
        <v>66086.78</v>
      </c>
      <c r="D14" s="15">
        <v>66518</v>
      </c>
      <c r="E14" s="15">
        <v>133849.81</v>
      </c>
      <c r="F14" s="15">
        <v>29253.599999999999</v>
      </c>
      <c r="G14" s="15">
        <v>43519.5</v>
      </c>
      <c r="H14" s="15">
        <v>145106.78</v>
      </c>
      <c r="I14" s="15"/>
      <c r="J14" s="15"/>
      <c r="K14" s="15"/>
      <c r="L14" s="15"/>
      <c r="M14" s="15"/>
      <c r="N14" s="15">
        <f t="shared" si="0"/>
        <v>484334.47</v>
      </c>
    </row>
    <row r="15" spans="1:14">
      <c r="A15" s="3" t="s">
        <v>13</v>
      </c>
      <c r="B15" s="13">
        <f>B11+B14</f>
        <v>374770.67000000004</v>
      </c>
      <c r="C15" s="13">
        <f>C11+C14</f>
        <v>499823.5</v>
      </c>
      <c r="D15" s="13">
        <f t="shared" ref="D15" si="2">D11+D14</f>
        <v>1092688.74</v>
      </c>
      <c r="E15" s="13">
        <f>E11+E14</f>
        <v>267352.63</v>
      </c>
      <c r="F15" s="13">
        <f t="shared" ref="F15:M15" si="3">F11+F14</f>
        <v>600422.36</v>
      </c>
      <c r="G15" s="13">
        <f>G11+G14</f>
        <v>-54957.739999999947</v>
      </c>
      <c r="H15" s="13">
        <f>H11+H14</f>
        <v>828707.14</v>
      </c>
      <c r="I15" s="13">
        <f>I11+I14</f>
        <v>0</v>
      </c>
      <c r="J15" s="13">
        <f>J11+J14</f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0">
        <f t="shared" si="0"/>
        <v>3608807.3000000003</v>
      </c>
    </row>
    <row r="16" spans="1:14">
      <c r="A16" s="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0">
        <f t="shared" si="0"/>
        <v>0</v>
      </c>
    </row>
    <row r="17" spans="1:17">
      <c r="A17" s="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1:17">
      <c r="A18" s="2" t="s">
        <v>15</v>
      </c>
      <c r="B18" s="10">
        <v>0</v>
      </c>
      <c r="C18" s="11">
        <v>25892.799999999999</v>
      </c>
      <c r="D18" s="10">
        <v>25892.799999999999</v>
      </c>
      <c r="E18" s="10">
        <v>51785.599999999999</v>
      </c>
      <c r="F18" s="10">
        <v>0</v>
      </c>
      <c r="G18" s="10">
        <v>29253.599999999999</v>
      </c>
      <c r="H18" s="10">
        <v>55146.400000000001</v>
      </c>
      <c r="I18" s="10"/>
      <c r="J18" s="10"/>
      <c r="K18" s="10"/>
      <c r="L18" s="10"/>
      <c r="M18" s="10"/>
      <c r="N18" s="10">
        <f t="shared" si="0"/>
        <v>187971.19999999998</v>
      </c>
    </row>
    <row r="19" spans="1:17">
      <c r="A19" s="2" t="s">
        <v>16</v>
      </c>
      <c r="B19" s="10">
        <v>0</v>
      </c>
      <c r="C19" s="10">
        <f>182344.07</f>
        <v>182344.07</v>
      </c>
      <c r="D19" s="10">
        <f>183556.07</f>
        <v>183556.07</v>
      </c>
      <c r="E19" s="10">
        <v>367229.84</v>
      </c>
      <c r="F19" s="10">
        <v>0</v>
      </c>
      <c r="G19" s="10">
        <v>199068.91</v>
      </c>
      <c r="H19" s="10">
        <v>399788.02</v>
      </c>
      <c r="I19" s="10"/>
      <c r="J19" s="10"/>
      <c r="K19" s="10"/>
      <c r="L19" s="10"/>
      <c r="M19" s="10"/>
      <c r="N19" s="10">
        <f t="shared" si="0"/>
        <v>1331986.9100000001</v>
      </c>
      <c r="O19" s="5"/>
    </row>
    <row r="20" spans="1:17">
      <c r="A20" s="2" t="s">
        <v>17</v>
      </c>
      <c r="B20" s="10">
        <v>0</v>
      </c>
      <c r="C20" s="10">
        <v>27429.34</v>
      </c>
      <c r="D20" s="10">
        <v>27429.34</v>
      </c>
      <c r="E20" s="10">
        <v>54858.68</v>
      </c>
      <c r="F20" s="10">
        <v>0</v>
      </c>
      <c r="G20" s="10">
        <v>28535.86</v>
      </c>
      <c r="H20" s="10">
        <v>59623.96</v>
      </c>
      <c r="I20" s="10"/>
      <c r="J20" s="10"/>
      <c r="K20" s="10"/>
      <c r="L20" s="10"/>
      <c r="M20" s="10"/>
      <c r="N20" s="10">
        <f t="shared" si="0"/>
        <v>197877.18</v>
      </c>
      <c r="Q20" s="5"/>
    </row>
    <row r="21" spans="1:17">
      <c r="A21" s="2" t="s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/>
      <c r="J21" s="10"/>
      <c r="K21" s="10"/>
      <c r="L21" s="10"/>
      <c r="N21" s="10">
        <f t="shared" si="0"/>
        <v>0</v>
      </c>
    </row>
    <row r="22" spans="1:17">
      <c r="A22" s="2" t="s">
        <v>19</v>
      </c>
      <c r="B22" s="10">
        <f>3600</f>
        <v>3600</v>
      </c>
      <c r="C22" s="10">
        <v>11839.09</v>
      </c>
      <c r="D22" s="10">
        <v>12514.09</v>
      </c>
      <c r="E22" s="10">
        <v>15851.93</v>
      </c>
      <c r="F22" s="10">
        <v>8913.9</v>
      </c>
      <c r="G22" s="10">
        <v>12506.02</v>
      </c>
      <c r="H22" s="10">
        <v>19865.12</v>
      </c>
      <c r="I22" s="10"/>
      <c r="J22" s="18"/>
      <c r="K22" s="10"/>
      <c r="L22" s="10"/>
      <c r="M22" s="10"/>
      <c r="N22" s="10">
        <f>SUM(B22:M22)</f>
        <v>85090.15</v>
      </c>
    </row>
    <row r="23" spans="1:17">
      <c r="A23" s="2" t="s">
        <v>20</v>
      </c>
      <c r="B23" s="10">
        <v>0</v>
      </c>
      <c r="C23" s="11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/>
      <c r="J23" s="18"/>
      <c r="K23" s="10"/>
      <c r="L23" s="10"/>
      <c r="M23" s="10"/>
      <c r="N23" s="10">
        <f t="shared" si="0"/>
        <v>0</v>
      </c>
    </row>
    <row r="24" spans="1:17">
      <c r="A24" s="2" t="s">
        <v>21</v>
      </c>
      <c r="B24" s="13">
        <f t="shared" ref="B24:H24" si="4">SUM(B18:B23)</f>
        <v>3600</v>
      </c>
      <c r="C24" s="19">
        <f>SUM(C18:C23)</f>
        <v>247505.3</v>
      </c>
      <c r="D24" s="19">
        <f>SUM(D18:D23)</f>
        <v>249392.3</v>
      </c>
      <c r="E24" s="19">
        <f t="shared" si="4"/>
        <v>489726.05</v>
      </c>
      <c r="F24" s="19">
        <f t="shared" si="4"/>
        <v>8913.9</v>
      </c>
      <c r="G24" s="19">
        <f t="shared" si="4"/>
        <v>269364.39</v>
      </c>
      <c r="H24" s="19">
        <f t="shared" si="4"/>
        <v>534423.50000000012</v>
      </c>
      <c r="I24" s="19">
        <f>SUM(I18:I23)</f>
        <v>0</v>
      </c>
      <c r="J24" s="19">
        <f>SUM(J18:J23)</f>
        <v>0</v>
      </c>
      <c r="K24" s="19">
        <f>SUM(K18:K23)</f>
        <v>0</v>
      </c>
      <c r="L24" s="19">
        <f>SUM(L18:L23)</f>
        <v>0</v>
      </c>
      <c r="M24" s="19">
        <f>SUM(M18:M23)</f>
        <v>0</v>
      </c>
      <c r="N24" s="19">
        <f>SUM(B24:M24)</f>
        <v>1802925.44</v>
      </c>
    </row>
    <row r="25" spans="1:17">
      <c r="A25" s="2" t="s">
        <v>22</v>
      </c>
      <c r="B25" s="10">
        <f>127.33</f>
        <v>127.33</v>
      </c>
      <c r="C25" s="11">
        <f>47889.12</f>
        <v>47889.120000000003</v>
      </c>
      <c r="D25" s="10">
        <v>40664.6</v>
      </c>
      <c r="E25" s="10">
        <v>42228.84</v>
      </c>
      <c r="F25" s="10">
        <v>39835.370000000003</v>
      </c>
      <c r="G25" s="10">
        <v>43519.5</v>
      </c>
      <c r="H25" s="10">
        <v>45332.42</v>
      </c>
      <c r="I25" s="10"/>
      <c r="J25" s="10"/>
      <c r="K25" s="10"/>
      <c r="L25" s="10"/>
      <c r="M25" s="10"/>
      <c r="N25" s="10">
        <f>SUM(B25:M25)</f>
        <v>259597.18</v>
      </c>
    </row>
    <row r="26" spans="1:17">
      <c r="A26" s="3" t="s">
        <v>23</v>
      </c>
      <c r="B26" s="13">
        <f>B24+B25</f>
        <v>3727.33</v>
      </c>
      <c r="C26" s="13">
        <f>C24+C25</f>
        <v>295394.42</v>
      </c>
      <c r="D26" s="13">
        <f t="shared" ref="D26:M26" si="5">D24+D25</f>
        <v>290056.89999999997</v>
      </c>
      <c r="E26" s="13">
        <f t="shared" si="5"/>
        <v>531954.89</v>
      </c>
      <c r="F26" s="13">
        <f t="shared" si="5"/>
        <v>48749.270000000004</v>
      </c>
      <c r="G26" s="13">
        <f t="shared" si="5"/>
        <v>312883.89</v>
      </c>
      <c r="H26" s="13">
        <f t="shared" si="5"/>
        <v>579755.92000000016</v>
      </c>
      <c r="I26" s="13">
        <f t="shared" si="5"/>
        <v>0</v>
      </c>
      <c r="J26" s="13">
        <f t="shared" si="5"/>
        <v>0</v>
      </c>
      <c r="K26" s="13">
        <f t="shared" si="5"/>
        <v>0</v>
      </c>
      <c r="L26" s="13">
        <f t="shared" si="5"/>
        <v>0</v>
      </c>
      <c r="M26" s="13">
        <f t="shared" si="5"/>
        <v>0</v>
      </c>
      <c r="N26" s="19">
        <f>SUM(B26:M26)</f>
        <v>2062522.6200000003</v>
      </c>
    </row>
    <row r="27" spans="1:17" ht="33.75">
      <c r="A27" s="6" t="s">
        <v>24</v>
      </c>
      <c r="B27" s="13">
        <f>B26</f>
        <v>3727.33</v>
      </c>
      <c r="C27" s="13">
        <f t="shared" ref="C27:L27" si="6">C24-C18</f>
        <v>221612.5</v>
      </c>
      <c r="D27" s="13">
        <f>D24-D18</f>
        <v>223499.5</v>
      </c>
      <c r="E27" s="13">
        <f t="shared" si="6"/>
        <v>437940.45</v>
      </c>
      <c r="F27" s="13">
        <f t="shared" si="6"/>
        <v>8913.9</v>
      </c>
      <c r="G27" s="13">
        <f>G24-G18</f>
        <v>240110.79</v>
      </c>
      <c r="H27" s="13">
        <f t="shared" si="6"/>
        <v>479277.10000000009</v>
      </c>
      <c r="I27" s="13">
        <f t="shared" si="6"/>
        <v>0</v>
      </c>
      <c r="J27" s="13">
        <f t="shared" si="6"/>
        <v>0</v>
      </c>
      <c r="K27" s="13">
        <f t="shared" si="6"/>
        <v>0</v>
      </c>
      <c r="L27" s="13">
        <f t="shared" si="6"/>
        <v>0</v>
      </c>
      <c r="M27" s="13">
        <f>M24-M18</f>
        <v>0</v>
      </c>
      <c r="N27" s="13">
        <f>N24-N18</f>
        <v>1614954.24</v>
      </c>
    </row>
    <row r="28" spans="1:17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7">
      <c r="A29" s="2" t="s">
        <v>25</v>
      </c>
      <c r="B29" s="19">
        <v>24197254.190000001</v>
      </c>
      <c r="C29" s="19">
        <f>B32</f>
        <v>24568297.530000005</v>
      </c>
      <c r="D29" s="19">
        <f>C32</f>
        <v>24772726.610000003</v>
      </c>
      <c r="E29" s="19">
        <f t="shared" ref="E29:M29" si="7">D32</f>
        <v>25575358.450000003</v>
      </c>
      <c r="F29" s="19">
        <f t="shared" si="7"/>
        <v>25310756.190000001</v>
      </c>
      <c r="G29" s="19">
        <f>F32</f>
        <v>25862429.280000001</v>
      </c>
      <c r="H29" s="19">
        <f t="shared" si="7"/>
        <v>25494587.650000002</v>
      </c>
      <c r="I29" s="19">
        <f t="shared" si="7"/>
        <v>25743538.870000001</v>
      </c>
      <c r="J29" s="19">
        <f t="shared" si="7"/>
        <v>25743538.870000001</v>
      </c>
      <c r="K29" s="19">
        <f t="shared" si="7"/>
        <v>25743538.870000001</v>
      </c>
      <c r="L29" s="19">
        <f t="shared" si="7"/>
        <v>25743538.870000001</v>
      </c>
      <c r="M29" s="19">
        <f t="shared" si="7"/>
        <v>25743538.870000001</v>
      </c>
      <c r="N29" s="19">
        <f>SUM(B29:M29)</f>
        <v>304499104.25</v>
      </c>
    </row>
    <row r="30" spans="1:17">
      <c r="A30" s="2" t="s">
        <v>26</v>
      </c>
      <c r="B30" s="19">
        <f>B15</f>
        <v>374770.67000000004</v>
      </c>
      <c r="C30" s="19">
        <f t="shared" ref="C30:M30" si="8">C15</f>
        <v>499823.5</v>
      </c>
      <c r="D30" s="19">
        <f t="shared" si="8"/>
        <v>1092688.74</v>
      </c>
      <c r="E30" s="19">
        <f t="shared" si="8"/>
        <v>267352.63</v>
      </c>
      <c r="F30" s="19">
        <f t="shared" si="8"/>
        <v>600422.36</v>
      </c>
      <c r="G30" s="19">
        <f t="shared" si="8"/>
        <v>-54957.739999999947</v>
      </c>
      <c r="H30" s="19">
        <f t="shared" si="8"/>
        <v>828707.14</v>
      </c>
      <c r="I30" s="19">
        <f t="shared" si="8"/>
        <v>0</v>
      </c>
      <c r="J30" s="19">
        <f t="shared" si="8"/>
        <v>0</v>
      </c>
      <c r="K30" s="19">
        <f t="shared" si="8"/>
        <v>0</v>
      </c>
      <c r="L30" s="19">
        <f t="shared" si="8"/>
        <v>0</v>
      </c>
      <c r="M30" s="19">
        <f t="shared" si="8"/>
        <v>0</v>
      </c>
      <c r="N30" s="19">
        <f>SUM(B30:M30)</f>
        <v>3608807.3000000003</v>
      </c>
    </row>
    <row r="31" spans="1:17">
      <c r="A31" s="2" t="s">
        <v>27</v>
      </c>
      <c r="B31" s="19">
        <f t="shared" ref="B31:M31" si="9">B26</f>
        <v>3727.33</v>
      </c>
      <c r="C31" s="19">
        <f t="shared" si="9"/>
        <v>295394.42</v>
      </c>
      <c r="D31" s="19">
        <f t="shared" si="9"/>
        <v>290056.89999999997</v>
      </c>
      <c r="E31" s="19">
        <f t="shared" si="9"/>
        <v>531954.89</v>
      </c>
      <c r="F31" s="19">
        <f t="shared" si="9"/>
        <v>48749.270000000004</v>
      </c>
      <c r="G31" s="19">
        <f t="shared" si="9"/>
        <v>312883.89</v>
      </c>
      <c r="H31" s="19">
        <f t="shared" si="9"/>
        <v>579755.92000000016</v>
      </c>
      <c r="I31" s="19">
        <f t="shared" si="9"/>
        <v>0</v>
      </c>
      <c r="J31" s="19">
        <f t="shared" si="9"/>
        <v>0</v>
      </c>
      <c r="K31" s="19">
        <f t="shared" si="9"/>
        <v>0</v>
      </c>
      <c r="L31" s="19">
        <f t="shared" si="9"/>
        <v>0</v>
      </c>
      <c r="M31" s="19">
        <f t="shared" si="9"/>
        <v>0</v>
      </c>
      <c r="N31" s="19">
        <f>SUM(B31:M31)</f>
        <v>2062522.6200000003</v>
      </c>
    </row>
    <row r="32" spans="1:17">
      <c r="A32" s="3" t="s">
        <v>28</v>
      </c>
      <c r="B32" s="19">
        <f t="shared" ref="B32:M32" si="10">B29+B30-B31</f>
        <v>24568297.530000005</v>
      </c>
      <c r="C32" s="19">
        <f t="shared" si="10"/>
        <v>24772726.610000003</v>
      </c>
      <c r="D32" s="19">
        <f t="shared" si="10"/>
        <v>25575358.450000003</v>
      </c>
      <c r="E32" s="19">
        <f t="shared" si="10"/>
        <v>25310756.190000001</v>
      </c>
      <c r="F32" s="19">
        <f t="shared" si="10"/>
        <v>25862429.280000001</v>
      </c>
      <c r="G32" s="19">
        <f t="shared" si="10"/>
        <v>25494587.650000002</v>
      </c>
      <c r="H32" s="19">
        <f t="shared" si="10"/>
        <v>25743538.870000001</v>
      </c>
      <c r="I32" s="19">
        <f t="shared" si="10"/>
        <v>25743538.870000001</v>
      </c>
      <c r="J32" s="19">
        <f t="shared" si="10"/>
        <v>25743538.870000001</v>
      </c>
      <c r="K32" s="19">
        <f>K29+K30-K31</f>
        <v>25743538.870000001</v>
      </c>
      <c r="L32" s="19">
        <f t="shared" si="10"/>
        <v>25743538.870000001</v>
      </c>
      <c r="M32" s="19">
        <f t="shared" si="10"/>
        <v>25743538.870000001</v>
      </c>
      <c r="N32" s="19">
        <f t="shared" ref="N32" si="11">SUM(B32:M32)</f>
        <v>306045388.93000001</v>
      </c>
    </row>
    <row r="33" spans="1:13">
      <c r="B33" s="5"/>
      <c r="C33" s="5"/>
      <c r="D33" s="5"/>
      <c r="E33" s="5"/>
      <c r="F33" s="5"/>
      <c r="G33" s="5"/>
      <c r="H33" s="5"/>
      <c r="I33" s="5"/>
      <c r="J33" s="5"/>
      <c r="K33" s="5"/>
      <c r="M33" s="22"/>
    </row>
    <row r="34" spans="1:13">
      <c r="B34" s="22"/>
      <c r="D34" s="31"/>
    </row>
    <row r="35" spans="1:13">
      <c r="H35" s="22"/>
      <c r="M35" s="22">
        <f>M32-24197254.19</f>
        <v>1546284.6799999997</v>
      </c>
    </row>
    <row r="36" spans="1:13">
      <c r="A36" s="41" t="s">
        <v>29</v>
      </c>
      <c r="B36" s="41"/>
      <c r="C36" s="41"/>
      <c r="D36" s="41"/>
      <c r="E36" s="41"/>
      <c r="H36" s="41" t="s">
        <v>30</v>
      </c>
      <c r="I36" s="41"/>
      <c r="J36" s="41"/>
      <c r="K36" s="41"/>
      <c r="L36" s="41"/>
    </row>
    <row r="37" spans="1:13">
      <c r="A37" s="41" t="s">
        <v>31</v>
      </c>
      <c r="B37" s="41"/>
      <c r="C37" s="41"/>
      <c r="D37" s="41"/>
      <c r="E37" s="41"/>
      <c r="H37" s="41" t="s">
        <v>32</v>
      </c>
      <c r="I37" s="41"/>
      <c r="J37" s="41"/>
      <c r="K37" s="41"/>
      <c r="L37" s="41"/>
    </row>
    <row r="39" spans="1:13">
      <c r="A39" s="1" t="s">
        <v>33</v>
      </c>
    </row>
  </sheetData>
  <mergeCells count="6">
    <mergeCell ref="A1:N1"/>
    <mergeCell ref="A2:N2"/>
    <mergeCell ref="A36:E36"/>
    <mergeCell ref="H36:L36"/>
    <mergeCell ref="A37:E37"/>
    <mergeCell ref="H37:L37"/>
  </mergeCells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2020</vt:lpstr>
      <vt:lpstr>2021</vt:lpstr>
      <vt:lpstr>2022</vt:lpstr>
      <vt:lpstr>'2020'!Area_de_impressao</vt:lpstr>
      <vt:lpstr>'2021'!Area_de_impressao</vt:lpstr>
      <vt:lpstr>'2022'!Area_de_impressao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2022-08-18T19:35:38Z</cp:lastPrinted>
  <dcterms:created xsi:type="dcterms:W3CDTF">2020-08-12T19:07:49Z</dcterms:created>
  <dcterms:modified xsi:type="dcterms:W3CDTF">2022-08-18T19:36:01Z</dcterms:modified>
</cp:coreProperties>
</file>